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mc:AlternateContent xmlns:mc="http://schemas.openxmlformats.org/markup-compatibility/2006">
    <mc:Choice Requires="x15">
      <x15ac:absPath xmlns:x15ac="http://schemas.microsoft.com/office/spreadsheetml/2010/11/ac" url="C:\Users\Karen\Documents\Karen business Food Fraud\VAT\"/>
    </mc:Choice>
  </mc:AlternateContent>
  <xr:revisionPtr revIDLastSave="0" documentId="13_ncr:1_{3044CAB5-60BA-449B-AF5C-9301E1B5887C}" xr6:coauthVersionLast="41" xr6:coauthVersionMax="41" xr10:uidLastSave="{00000000-0000-0000-0000-000000000000}"/>
  <bookViews>
    <workbookView xWindow="-108" yWindow="-108" windowWidth="23256" windowHeight="12600" tabRatio="851" xr2:uid="{00000000-000D-0000-FFFF-FFFF00000000}"/>
  </bookViews>
  <sheets>
    <sheet name="Introduction" sheetId="1" r:id="rId1"/>
    <sheet name="Scope worksheet" sheetId="20" r:id="rId2"/>
    <sheet name="Likelihood worksheet" sheetId="30" r:id="rId3"/>
    <sheet name="Consequences worksheet" sheetId="29" r:id="rId4"/>
    <sheet name="Results section 1" sheetId="22" r:id="rId5"/>
    <sheet name="Results section 2" sheetId="23" r:id="rId6"/>
    <sheet name="Instructions" sheetId="13" r:id="rId7"/>
    <sheet name="Controls (optional)" sheetId="26" r:id="rId8"/>
    <sheet name="Controls report" sheetId="27" r:id="rId9"/>
    <sheet name="Initial screening (optional)" sheetId="35" r:id="rId10"/>
    <sheet name="Product list" sheetId="32" r:id="rId11"/>
    <sheet name="Definitions" sheetId="36" r:id="rId12"/>
    <sheet name="calc sheet" sheetId="4" state="veryHidden" r:id="rId13"/>
    <sheet name="risk matrix viewer" sheetId="33" state="veryHidden" r:id="rId14"/>
  </sheets>
  <definedNames>
    <definedName name="_xlnm._FilterDatabase" localSheetId="5" hidden="1">'Results section 2'!$B$112:$E$166</definedName>
    <definedName name="prescreenmatrix">'risk matrix viewer'!$P$33:$T$37</definedName>
    <definedName name="riskmatrix">'risk matrix viewer'!$F$14:$M$20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19" i="29" l="1"/>
  <c r="I18" i="29"/>
  <c r="I17" i="29"/>
  <c r="I16" i="29"/>
  <c r="C36" i="23" l="1"/>
  <c r="C84" i="23"/>
  <c r="C82" i="23"/>
  <c r="C80" i="23"/>
  <c r="C68" i="23"/>
  <c r="G33" i="30" l="1"/>
  <c r="F38" i="30" s="1"/>
  <c r="G37" i="30" l="1"/>
  <c r="G36" i="30"/>
  <c r="G41" i="30" l="1"/>
  <c r="G29" i="30"/>
  <c r="G31" i="30" l="1"/>
  <c r="G30" i="30"/>
  <c r="G35" i="30"/>
  <c r="G34" i="30"/>
  <c r="G38" i="30" l="1"/>
  <c r="G40" i="30"/>
  <c r="H40" i="30" s="1"/>
  <c r="G12" i="29"/>
  <c r="G10" i="29" l="1"/>
  <c r="G21" i="29"/>
  <c r="G20" i="29"/>
  <c r="G19" i="29"/>
  <c r="G18" i="29"/>
  <c r="G17" i="29"/>
  <c r="G16" i="29"/>
  <c r="G15" i="29"/>
  <c r="G14" i="29"/>
  <c r="G13" i="29"/>
  <c r="G11" i="29"/>
  <c r="G10" i="30" l="1"/>
  <c r="G32" i="30" l="1"/>
  <c r="G28" i="30"/>
  <c r="G27" i="30"/>
  <c r="G26" i="30"/>
  <c r="G25" i="30"/>
  <c r="G24" i="30"/>
  <c r="G23" i="30"/>
  <c r="G22" i="30"/>
  <c r="G21" i="30"/>
  <c r="G20" i="30"/>
  <c r="G19" i="30"/>
  <c r="G18" i="30"/>
  <c r="G17" i="30"/>
  <c r="G16" i="30"/>
  <c r="G15" i="30"/>
  <c r="G14" i="30"/>
  <c r="G13" i="30"/>
  <c r="G12" i="30"/>
  <c r="G11" i="30"/>
  <c r="G39" i="30" l="1"/>
  <c r="H41" i="30" s="1"/>
  <c r="G42" i="30"/>
  <c r="I36" i="30" s="1"/>
  <c r="D11" i="4"/>
  <c r="I18" i="30" l="1"/>
  <c r="I26" i="30"/>
  <c r="I22" i="30"/>
  <c r="I28" i="30"/>
  <c r="I24" i="30"/>
  <c r="I32" i="30"/>
  <c r="H39" i="30"/>
  <c r="G43" i="30"/>
  <c r="H42" i="30"/>
  <c r="I16" i="30"/>
  <c r="I12" i="30"/>
  <c r="I30" i="30"/>
  <c r="I14" i="30"/>
  <c r="I20" i="30"/>
  <c r="I10" i="30"/>
  <c r="C81" i="23"/>
  <c r="I34" i="30"/>
  <c r="B3" i="23"/>
  <c r="F8" i="23" s="1"/>
  <c r="D47" i="30" l="1"/>
  <c r="B13" i="23" s="1"/>
  <c r="G44" i="30"/>
  <c r="I37" i="30" s="1"/>
  <c r="F43" i="30"/>
  <c r="H43" i="30"/>
  <c r="E18" i="29"/>
  <c r="E17" i="29"/>
  <c r="E16" i="29"/>
  <c r="E21" i="29"/>
  <c r="E19" i="29"/>
  <c r="E15" i="29"/>
  <c r="E14" i="29"/>
  <c r="E13" i="29"/>
  <c r="E11" i="29"/>
  <c r="I35" i="30" l="1"/>
  <c r="I33" i="30"/>
  <c r="I31" i="30"/>
  <c r="I17" i="30"/>
  <c r="I29" i="30"/>
  <c r="C67" i="23" s="1"/>
  <c r="I25" i="30"/>
  <c r="I19" i="30"/>
  <c r="I23" i="30"/>
  <c r="I27" i="30"/>
  <c r="I11" i="30"/>
  <c r="I15" i="30"/>
  <c r="C83" i="23"/>
  <c r="C79" i="23"/>
  <c r="I13" i="30"/>
  <c r="D20" i="20"/>
  <c r="D18" i="20"/>
  <c r="E14" i="4" l="1"/>
  <c r="D14" i="4"/>
  <c r="E21" i="4"/>
  <c r="D21" i="4"/>
  <c r="E11" i="4"/>
  <c r="C2" i="22"/>
  <c r="C13" i="22" s="1"/>
  <c r="D4" i="32"/>
  <c r="B3" i="35"/>
  <c r="C5" i="27"/>
  <c r="C4" i="27"/>
  <c r="C3" i="27"/>
  <c r="B3" i="26"/>
  <c r="B40" i="22"/>
  <c r="C4" i="22"/>
  <c r="C3" i="22"/>
  <c r="B3" i="29"/>
  <c r="B3" i="30"/>
  <c r="B6" i="20"/>
  <c r="D5" i="32" l="1"/>
  <c r="C14" i="22"/>
  <c r="C70" i="22" l="1"/>
  <c r="C60" i="22"/>
  <c r="C68" i="22"/>
  <c r="C66" i="22"/>
  <c r="C64" i="22"/>
  <c r="C58" i="22"/>
  <c r="C56" i="22"/>
  <c r="C54" i="22"/>
  <c r="B10" i="22" l="1"/>
  <c r="B1" i="22"/>
  <c r="G19" i="35"/>
  <c r="G12" i="35"/>
  <c r="G18" i="35"/>
  <c r="G17" i="35"/>
  <c r="G11" i="35"/>
  <c r="G10" i="35"/>
  <c r="G20" i="35" l="1"/>
  <c r="G13" i="35"/>
  <c r="F20" i="35" l="1"/>
  <c r="G21" i="35"/>
  <c r="I20" i="35" s="1"/>
  <c r="F13" i="35"/>
  <c r="G14" i="35"/>
  <c r="B13" i="22"/>
  <c r="C15" i="22"/>
  <c r="G22" i="35" l="1"/>
  <c r="I10" i="35" s="1"/>
  <c r="C53" i="22" s="1"/>
  <c r="I13" i="35"/>
  <c r="C59" i="22" s="1"/>
  <c r="C69" i="22"/>
  <c r="H54" i="4"/>
  <c r="H55" i="4"/>
  <c r="H50" i="4"/>
  <c r="H51" i="4"/>
  <c r="B21" i="20"/>
  <c r="B16" i="22" s="1"/>
  <c r="B15" i="22"/>
  <c r="I11" i="35" l="1"/>
  <c r="C55" i="22" s="1"/>
  <c r="I18" i="35"/>
  <c r="C65" i="22" s="1"/>
  <c r="I17" i="35"/>
  <c r="C63" i="22" s="1"/>
  <c r="I19" i="35"/>
  <c r="C67" i="22" s="1"/>
  <c r="I12" i="35"/>
  <c r="C57" i="22" s="1"/>
  <c r="C43" i="22"/>
  <c r="B44" i="22"/>
  <c r="R36" i="33"/>
  <c r="C44" i="22"/>
  <c r="S35" i="33"/>
  <c r="S36" i="33"/>
  <c r="R35" i="33"/>
  <c r="J46" i="4"/>
  <c r="J45" i="4"/>
  <c r="B43" i="22"/>
  <c r="I46" i="4"/>
  <c r="I45" i="4"/>
  <c r="C86" i="23"/>
  <c r="B8" i="20" l="1"/>
  <c r="D6" i="32"/>
  <c r="E13" i="4" l="1"/>
  <c r="E12" i="4"/>
  <c r="E10" i="4"/>
  <c r="D19" i="4"/>
  <c r="E19" i="4"/>
  <c r="E17" i="4"/>
  <c r="E16" i="4"/>
  <c r="E15" i="4"/>
  <c r="E20" i="4"/>
  <c r="E18" i="4"/>
  <c r="D20" i="4"/>
  <c r="D18" i="4"/>
  <c r="D17" i="4"/>
  <c r="D16" i="4"/>
  <c r="D15" i="4"/>
  <c r="D13" i="4"/>
  <c r="D12" i="4"/>
  <c r="D10" i="4" l="1"/>
  <c r="B4" i="30"/>
  <c r="B4" i="29"/>
  <c r="D15" i="29"/>
  <c r="D20" i="29"/>
  <c r="D21" i="29"/>
  <c r="D12" i="29"/>
  <c r="D10" i="29"/>
  <c r="C115" i="23" l="1"/>
  <c r="C113" i="23" l="1"/>
  <c r="C111" i="23"/>
  <c r="C109" i="23"/>
  <c r="C107" i="23"/>
  <c r="C105" i="23"/>
  <c r="C103" i="23"/>
  <c r="C101" i="23"/>
  <c r="C99" i="23"/>
  <c r="C97" i="23"/>
  <c r="C95" i="23"/>
  <c r="C93" i="23"/>
  <c r="C91" i="23"/>
  <c r="C78" i="23"/>
  <c r="C76" i="23"/>
  <c r="C74" i="23"/>
  <c r="C72" i="23"/>
  <c r="C70" i="23"/>
  <c r="C66" i="23"/>
  <c r="C64" i="23"/>
  <c r="C62" i="23"/>
  <c r="C60" i="23"/>
  <c r="C58" i="23"/>
  <c r="C56" i="23"/>
  <c r="C54" i="23"/>
  <c r="C52" i="23"/>
  <c r="C50" i="23"/>
  <c r="C48" i="23"/>
  <c r="C46" i="23"/>
  <c r="C44" i="23"/>
  <c r="C42" i="23"/>
  <c r="C40" i="23"/>
  <c r="C38" i="23"/>
  <c r="C34" i="23"/>
  <c r="C32" i="23"/>
  <c r="C30" i="23"/>
  <c r="H24" i="29"/>
  <c r="G22" i="29" l="1"/>
  <c r="I14" i="29" s="1"/>
  <c r="H22" i="29" l="1"/>
  <c r="I13" i="29"/>
  <c r="C96" i="23" s="1"/>
  <c r="I11" i="29"/>
  <c r="C92" i="23" s="1"/>
  <c r="I21" i="29"/>
  <c r="C112" i="23" s="1"/>
  <c r="I12" i="29"/>
  <c r="C108" i="23"/>
  <c r="C98" i="23"/>
  <c r="I20" i="29"/>
  <c r="C110" i="23" s="1"/>
  <c r="C106" i="23"/>
  <c r="C104" i="23"/>
  <c r="I15" i="29"/>
  <c r="C100" i="23" s="1"/>
  <c r="C102" i="23"/>
  <c r="H23" i="29"/>
  <c r="G24" i="29" s="1"/>
  <c r="H28" i="33" s="1"/>
  <c r="H29" i="33" s="1"/>
  <c r="I10" i="29"/>
  <c r="I23" i="29" l="1"/>
  <c r="C114" i="23"/>
  <c r="C94" i="23"/>
  <c r="C90" i="23"/>
  <c r="F23" i="29"/>
  <c r="H28" i="4"/>
  <c r="C63" i="23" l="1"/>
  <c r="C65" i="23"/>
  <c r="C29" i="23"/>
  <c r="G45" i="30"/>
  <c r="H29" i="4"/>
  <c r="F10" i="23"/>
  <c r="C37" i="23"/>
  <c r="C41" i="23"/>
  <c r="C39" i="23"/>
  <c r="C45" i="23"/>
  <c r="C43" i="23"/>
  <c r="C35" i="23"/>
  <c r="C31" i="23"/>
  <c r="C33" i="23"/>
  <c r="E10" i="29"/>
  <c r="C61" i="23" l="1"/>
  <c r="C57" i="23"/>
  <c r="C55" i="23"/>
  <c r="C77" i="23"/>
  <c r="F44" i="30"/>
  <c r="C73" i="23"/>
  <c r="C59" i="23"/>
  <c r="C53" i="23"/>
  <c r="C71" i="23"/>
  <c r="I21" i="30"/>
  <c r="C51" i="23" s="1"/>
  <c r="C69" i="23"/>
  <c r="C49" i="23"/>
  <c r="C75" i="23"/>
  <c r="C47" i="23"/>
  <c r="I24" i="33"/>
  <c r="H25" i="33" s="1"/>
  <c r="H15" i="33" s="1"/>
  <c r="C9" i="27"/>
  <c r="I24" i="4" l="1"/>
  <c r="H25" i="4" s="1"/>
  <c r="H15" i="4" s="1"/>
  <c r="H45" i="30"/>
  <c r="C8" i="27"/>
  <c r="E5" i="26"/>
  <c r="E6" i="26" s="1"/>
  <c r="H24" i="33" l="1"/>
  <c r="I44" i="30"/>
  <c r="L15" i="4"/>
  <c r="J15" i="4"/>
  <c r="K18" i="33"/>
  <c r="J15" i="33"/>
  <c r="L16" i="33"/>
  <c r="H19" i="33"/>
  <c r="L15" i="33"/>
  <c r="H18" i="33"/>
  <c r="L17" i="33"/>
  <c r="I19" i="33"/>
  <c r="H16" i="33"/>
  <c r="I18" i="33"/>
  <c r="I17" i="33"/>
  <c r="H17" i="33"/>
  <c r="J18" i="33"/>
  <c r="I15" i="33"/>
  <c r="J17" i="33"/>
  <c r="K19" i="33"/>
  <c r="J16" i="33"/>
  <c r="J19" i="33"/>
  <c r="I16" i="33"/>
  <c r="K17" i="33"/>
  <c r="L19" i="33"/>
  <c r="K16" i="33"/>
  <c r="L18" i="33"/>
  <c r="K15" i="33"/>
  <c r="H24" i="4"/>
  <c r="F9" i="23" s="1"/>
  <c r="C85" i="23"/>
  <c r="C10" i="27"/>
  <c r="B15" i="27" l="1"/>
  <c r="C6" i="22" l="1"/>
  <c r="C5" i="22"/>
  <c r="B17" i="22" l="1"/>
  <c r="E18" i="22" l="1"/>
  <c r="E19" i="22"/>
  <c r="E20" i="22"/>
  <c r="E21" i="22"/>
  <c r="E22" i="22"/>
  <c r="E23" i="22"/>
  <c r="E24" i="22"/>
  <c r="E25" i="22"/>
  <c r="E26" i="22"/>
  <c r="E27" i="22"/>
  <c r="E28" i="22"/>
  <c r="E29" i="22"/>
  <c r="E30" i="22"/>
  <c r="E31" i="22"/>
  <c r="E32" i="22"/>
  <c r="E33" i="22"/>
  <c r="E34" i="22"/>
  <c r="E35" i="22"/>
  <c r="E36" i="22"/>
  <c r="E37" i="22"/>
  <c r="D18" i="22"/>
  <c r="D19" i="22"/>
  <c r="D20" i="22"/>
  <c r="D21" i="22"/>
  <c r="D22" i="22"/>
  <c r="D23" i="22"/>
  <c r="D24" i="22"/>
  <c r="D25" i="22"/>
  <c r="D26" i="22"/>
  <c r="D27" i="22"/>
  <c r="D28" i="22"/>
  <c r="D29" i="22"/>
  <c r="D30" i="22"/>
  <c r="D31" i="22"/>
  <c r="D32" i="22"/>
  <c r="D33" i="22"/>
  <c r="D34" i="22"/>
  <c r="D35" i="22"/>
  <c r="D36" i="22"/>
  <c r="D37" i="22"/>
  <c r="C18" i="22"/>
  <c r="C19" i="22"/>
  <c r="C20" i="22"/>
  <c r="C21" i="22"/>
  <c r="C22" i="22"/>
  <c r="C23" i="22"/>
  <c r="C24" i="22"/>
  <c r="C25" i="22"/>
  <c r="C26" i="22"/>
  <c r="C27" i="22"/>
  <c r="C28" i="22"/>
  <c r="C29" i="22"/>
  <c r="C30" i="22"/>
  <c r="C31" i="22"/>
  <c r="C32" i="22"/>
  <c r="C33" i="22"/>
  <c r="C34" i="22"/>
  <c r="C35" i="22"/>
  <c r="C36" i="22"/>
  <c r="C37" i="22"/>
  <c r="C17" i="22"/>
  <c r="D17" i="22"/>
  <c r="E17" i="22"/>
  <c r="B18" i="22"/>
  <c r="B19" i="22"/>
  <c r="B20" i="22"/>
  <c r="B21" i="22"/>
  <c r="B22" i="22"/>
  <c r="B23" i="22"/>
  <c r="B24" i="22"/>
  <c r="B25" i="22"/>
  <c r="B26" i="22"/>
  <c r="B27" i="22"/>
  <c r="B28" i="22"/>
  <c r="B29" i="22"/>
  <c r="B30" i="22"/>
  <c r="B31" i="22"/>
  <c r="B32" i="22"/>
  <c r="B33" i="22"/>
  <c r="B34" i="22"/>
  <c r="B35" i="22"/>
  <c r="B36" i="22"/>
  <c r="B37" i="22"/>
  <c r="C13" i="20"/>
  <c r="C14" i="20" s="1"/>
  <c r="C8" i="22" l="1"/>
  <c r="C7" i="22"/>
  <c r="C11" i="27"/>
  <c r="G19" i="23" l="1"/>
  <c r="H21" i="23"/>
  <c r="G18" i="23"/>
  <c r="H20" i="23"/>
  <c r="G17" i="23"/>
  <c r="D19" i="23"/>
  <c r="L18" i="4"/>
  <c r="K15" i="4"/>
  <c r="H17" i="4"/>
  <c r="J18" i="4"/>
  <c r="I15" i="4"/>
  <c r="J17" i="4"/>
  <c r="E18" i="23"/>
  <c r="I19" i="4"/>
  <c r="I35" i="4" s="1"/>
  <c r="K19" i="4"/>
  <c r="E21" i="23"/>
  <c r="E20" i="23"/>
  <c r="G20" i="23"/>
  <c r="I17" i="4"/>
  <c r="L19" i="4"/>
  <c r="F20" i="23"/>
  <c r="F19" i="23"/>
  <c r="F18" i="23"/>
  <c r="H19" i="23"/>
  <c r="J16" i="4"/>
  <c r="H19" i="4"/>
  <c r="I18" i="4"/>
  <c r="H18" i="23"/>
  <c r="D21" i="23"/>
  <c r="H17" i="23"/>
  <c r="D20" i="23"/>
  <c r="F21" i="23"/>
  <c r="H18" i="4"/>
  <c r="I16" i="4"/>
  <c r="K17" i="4"/>
  <c r="K16" i="4"/>
  <c r="D18" i="23"/>
  <c r="D17" i="23"/>
  <c r="E19" i="23"/>
  <c r="F17" i="23"/>
  <c r="K18" i="4"/>
  <c r="L16" i="4"/>
  <c r="E17" i="23"/>
  <c r="G21" i="23"/>
  <c r="J19" i="4"/>
  <c r="L17" i="4"/>
  <c r="H16" i="4"/>
  <c r="J34" i="4" l="1"/>
  <c r="L35" i="4"/>
  <c r="H33" i="4"/>
  <c r="K35" i="4"/>
  <c r="K34" i="4"/>
  <c r="I34" i="4"/>
  <c r="I33" i="4"/>
  <c r="H34" i="4"/>
  <c r="J35" i="4"/>
  <c r="H38" i="4" l="1"/>
  <c r="F11" i="23" l="1"/>
  <c r="C6" i="27"/>
</calcChain>
</file>

<file path=xl/sharedStrings.xml><?xml version="1.0" encoding="utf-8"?>
<sst xmlns="http://schemas.openxmlformats.org/spreadsheetml/2006/main" count="610" uniqueCount="355">
  <si>
    <t>Price</t>
  </si>
  <si>
    <t>Info</t>
  </si>
  <si>
    <t>Prepared by</t>
  </si>
  <si>
    <t>Date</t>
  </si>
  <si>
    <t>Summary</t>
  </si>
  <si>
    <t xml:space="preserve">Food safety warning: adulteration or substitution of any ingredient means a risk to food safety </t>
  </si>
  <si>
    <t>Is the price of this material subject to frequent, large fluctuations?</t>
  </si>
  <si>
    <t>Review due date</t>
  </si>
  <si>
    <t>Likelihood
(Calculated)</t>
  </si>
  <si>
    <t>Instructions</t>
  </si>
  <si>
    <t>Step 1
1 minute</t>
  </si>
  <si>
    <t>Questions?</t>
  </si>
  <si>
    <t>What next?</t>
  </si>
  <si>
    <t>Feedback</t>
  </si>
  <si>
    <t>Show me the results</t>
  </si>
  <si>
    <t>FAQ 
(link to website)</t>
  </si>
  <si>
    <t>What next?
(external link)</t>
  </si>
  <si>
    <t>Back to Instructions page</t>
  </si>
  <si>
    <t>Now I have a vulnerability assessment.  What comes next?</t>
  </si>
  <si>
    <t>Is this material sourced from countries or regions that are politically unstable or very poor?</t>
  </si>
  <si>
    <t>Complexity of supply chain</t>
  </si>
  <si>
    <t>Do you consider the supply chain of this material to be complex and/or long?</t>
  </si>
  <si>
    <t>Is the supply chain of a type that allows multiple points of entry for fraudulent material?</t>
  </si>
  <si>
    <t>yes=1, no=0</t>
  </si>
  <si>
    <t>yes=0, no=1</t>
  </si>
  <si>
    <t>Does the international market for this material have a large monetary value?</t>
  </si>
  <si>
    <t>yes all suppliers=0, yes some suppliers 0.5, no=1</t>
  </si>
  <si>
    <t>yes many entry points=1, some entry points=0.5, no=0</t>
  </si>
  <si>
    <t>yes very large=1, somewhat large=0.5, no=0</t>
  </si>
  <si>
    <t>Fairly likely</t>
  </si>
  <si>
    <t>Very unlikely,Unlikely,Fairly likely,Likely,Very likely/certain</t>
  </si>
  <si>
    <t>Company name</t>
  </si>
  <si>
    <t>Insert your job title here</t>
  </si>
  <si>
    <t>Insert your name here</t>
  </si>
  <si>
    <t>Very unlikely</t>
  </si>
  <si>
    <t>Unlikely</t>
  </si>
  <si>
    <t>Likely</t>
  </si>
  <si>
    <t>Price fluctuations</t>
  </si>
  <si>
    <t>Trading properties</t>
  </si>
  <si>
    <t>yes very complex and/or long=1, somewhat complex=0.5, no=0</t>
  </si>
  <si>
    <t>yes very expensive=1, somewhat expensive=0.5, no=0</t>
  </si>
  <si>
    <t>Size of market</t>
  </si>
  <si>
    <t>Is the supply chain audited by your business or by third parties?</t>
  </si>
  <si>
    <t>yes all suppliers are audited=0, some suppliers are audited 0.5, no=1</t>
  </si>
  <si>
    <t>Results</t>
  </si>
  <si>
    <t>Element</t>
  </si>
  <si>
    <t>Question</t>
  </si>
  <si>
    <t>Help</t>
  </si>
  <si>
    <t>Your Comments</t>
  </si>
  <si>
    <t>Use one spreadsheet per material or material group. Make a new excel spreadsheet file for each material or material group.</t>
  </si>
  <si>
    <t>Step 4
5 minutes</t>
  </si>
  <si>
    <t>Got questions? </t>
  </si>
  <si>
    <t>Click here for answers to frequently asked questions (FAQ) and to access on-line support.</t>
  </si>
  <si>
    <t>Material</t>
  </si>
  <si>
    <t>Very likely/
certain</t>
  </si>
  <si>
    <t>add material names</t>
  </si>
  <si>
    <t>Key</t>
  </si>
  <si>
    <t>Red areas = high risk; urgent action is required and regular monitoring may be needed</t>
  </si>
  <si>
    <t>Green areas = low risk</t>
  </si>
  <si>
    <t>Yellow areas = medium risk: action is needed with occasional monitoring to mitigate the risk</t>
  </si>
  <si>
    <t>Type the name of the food business here</t>
  </si>
  <si>
    <t>An automatically generated likelihood</t>
  </si>
  <si>
    <t>Avoid using the excel 'CUT' function in the worksheets.  Copy and paste is fine.</t>
  </si>
  <si>
    <t>Vulnerability Estimate</t>
  </si>
  <si>
    <r>
      <rPr>
        <b/>
        <sz val="11"/>
        <color rgb="FF000000"/>
        <rFont val="Calibri"/>
        <family val="2"/>
        <scheme val="minor"/>
      </rPr>
      <t>Perform a ‘Save As’</t>
    </r>
    <r>
      <rPr>
        <sz val="11"/>
        <color rgb="FF000000"/>
        <rFont val="Calibri"/>
        <family val="2"/>
        <scheme val="minor"/>
      </rPr>
      <t xml:space="preserve"> to create a new copy of this spreadsheet with a new name.   Always keep a blank copy on hand for next time.</t>
    </r>
  </si>
  <si>
    <t>Geographic origins</t>
  </si>
  <si>
    <t>Historic incidents</t>
  </si>
  <si>
    <t>Emerging concerns</t>
  </si>
  <si>
    <t>Supply chain audits</t>
  </si>
  <si>
    <t>Ease of access to material</t>
  </si>
  <si>
    <t>Detection</t>
  </si>
  <si>
    <t>Mitigation</t>
  </si>
  <si>
    <t>Prevention and Deterrence</t>
  </si>
  <si>
    <t>Prevention, detection and mitigation activities</t>
  </si>
  <si>
    <t>Prevention, deterrence, detection and mitigation activities</t>
  </si>
  <si>
    <t>take me to the controls worksheet</t>
  </si>
  <si>
    <t>Company Name</t>
  </si>
  <si>
    <t>Allergens</t>
  </si>
  <si>
    <t>Consequences (severity)
Calculated</t>
  </si>
  <si>
    <t>Consequences (severity)
User rating</t>
  </si>
  <si>
    <t>Consequences of substitution or adulteration within supply chain for this product group</t>
  </si>
  <si>
    <t>User estimate of consequences (optional)</t>
  </si>
  <si>
    <t>Your 
answer</t>
  </si>
  <si>
    <t>hidden</t>
  </si>
  <si>
    <t>Micro ingredient</t>
  </si>
  <si>
    <t>1 or 2 = 0, more than 2 = 1</t>
  </si>
  <si>
    <t>hidden row</t>
  </si>
  <si>
    <t>Characterising Ingredient</t>
  </si>
  <si>
    <t>Is this ingredient used only in very small amounts? (always less than 1% of product)</t>
  </si>
  <si>
    <t>Is this material used in products that are marketed with an emphasis on country of origin?</t>
  </si>
  <si>
    <t>Is this ingredient used in products that are consumed primarily by vulnerable populations?</t>
  </si>
  <si>
    <t>Is this material used in products that are subject to focussed consumption?</t>
  </si>
  <si>
    <t>Is this material used in products that are claimed to be Halal? Kosher? Organic? Vegan? Vegetarian? Non-GMO? 'Free-from' or with any other special claims?</t>
  </si>
  <si>
    <t>Other economic considerations</t>
  </si>
  <si>
    <t>green</t>
  </si>
  <si>
    <t>yellow</t>
  </si>
  <si>
    <t>red</t>
  </si>
  <si>
    <t>Negligible</t>
  </si>
  <si>
    <t>Minor</t>
  </si>
  <si>
    <t>Moderate</t>
  </si>
  <si>
    <t>Significant</t>
  </si>
  <si>
    <t>Severe</t>
  </si>
  <si>
    <t>User estimate of likelihood</t>
  </si>
  <si>
    <t>Does this material make an important nutritional contribution to consumers?</t>
  </si>
  <si>
    <t>Likelihood</t>
  </si>
  <si>
    <t>Is this material used in products that are allergen-free or marketed with "free-from" allergen-related claims? (include gluten)</t>
  </si>
  <si>
    <t>Description of group</t>
  </si>
  <si>
    <t>Is this an expensive material?</t>
  </si>
  <si>
    <t>take me to the Likelihood Worksheet</t>
  </si>
  <si>
    <t>take me to the Consequences Worksheet</t>
  </si>
  <si>
    <t>Step 2
2 minutes</t>
  </si>
  <si>
    <t>Describe the material group, then list the materials which are included in this group, plus their codes if desired.</t>
  </si>
  <si>
    <t>Step 5
View results</t>
  </si>
  <si>
    <t>Step 6
Optional</t>
  </si>
  <si>
    <t>L1</t>
  </si>
  <si>
    <t>L8</t>
  </si>
  <si>
    <t>L2</t>
  </si>
  <si>
    <t>L4</t>
  </si>
  <si>
    <t>L5</t>
  </si>
  <si>
    <t>L7</t>
  </si>
  <si>
    <t>L3</t>
  </si>
  <si>
    <t>L6</t>
  </si>
  <si>
    <t>L9</t>
  </si>
  <si>
    <t>L10</t>
  </si>
  <si>
    <t>L11</t>
  </si>
  <si>
    <t>L12</t>
  </si>
  <si>
    <t>L13</t>
  </si>
  <si>
    <t>L15</t>
  </si>
  <si>
    <t>L16</t>
  </si>
  <si>
    <t>L17</t>
  </si>
  <si>
    <t>L18</t>
  </si>
  <si>
    <t>L19</t>
  </si>
  <si>
    <t>L20</t>
  </si>
  <si>
    <t>L21</t>
  </si>
  <si>
    <t>L22</t>
  </si>
  <si>
    <t>L23</t>
  </si>
  <si>
    <t>L24</t>
  </si>
  <si>
    <t>L25</t>
  </si>
  <si>
    <t>L26</t>
  </si>
  <si>
    <t>C1</t>
  </si>
  <si>
    <t>C4</t>
  </si>
  <si>
    <t>C2</t>
  </si>
  <si>
    <t>C3</t>
  </si>
  <si>
    <t>C5</t>
  </si>
  <si>
    <t>C6</t>
  </si>
  <si>
    <t>C7</t>
  </si>
  <si>
    <t>C8</t>
  </si>
  <si>
    <t>C9</t>
  </si>
  <si>
    <t>C10</t>
  </si>
  <si>
    <t>C11</t>
  </si>
  <si>
    <t>C12</t>
  </si>
  <si>
    <t>Material Name</t>
  </si>
  <si>
    <t>Description of material group</t>
  </si>
  <si>
    <t>Used in the products listed below</t>
  </si>
  <si>
    <t>Product names, groups or skus</t>
  </si>
  <si>
    <t>Add product information here</t>
  </si>
  <si>
    <t>Go to product list sheet</t>
  </si>
  <si>
    <t>Back to Scope worksheet</t>
  </si>
  <si>
    <t>Type your comments about the consequences if food fraud was to affect this material here</t>
  </si>
  <si>
    <t>Consequences (severity)</t>
  </si>
  <si>
    <t>Step 3
20 minutes</t>
  </si>
  <si>
    <t>yes many incidences=5, a few incidences=3, no=0</t>
  </si>
  <si>
    <t>yes=0, no=2</t>
  </si>
  <si>
    <t>always=0, sometimes=0.5, never=2</t>
  </si>
  <si>
    <t>yes=0, no=0.25, not applicable = 1</t>
  </si>
  <si>
    <t>yes=0, no=3</t>
  </si>
  <si>
    <t>Hidden cell</t>
  </si>
  <si>
    <t>Vulnerability Assessment; likelihood</t>
  </si>
  <si>
    <t>Vulnerability Assessment; consequences</t>
  </si>
  <si>
    <t>Are there any other economic considerations to include?  If yes, add comments.</t>
  </si>
  <si>
    <t>L27</t>
  </si>
  <si>
    <t>L28</t>
  </si>
  <si>
    <t>C13</t>
  </si>
  <si>
    <t>C14</t>
  </si>
  <si>
    <t>Is this product marketed with an emphasis on country of origin?</t>
  </si>
  <si>
    <t>Is this product marketed with special regional or provenance claims or does it have protected designated origin status?</t>
  </si>
  <si>
    <t>Is this material used in products that are marketed with special regional or provenance claims or with protected designated origin status?</t>
  </si>
  <si>
    <t>Is this product allergen-free or marketed with "free-from" allergen-related claims? (include gluten)</t>
  </si>
  <si>
    <t>Is this product consumed primarily by vulnerable populations?</t>
  </si>
  <si>
    <t>Is this product subject to focussed consumption?</t>
  </si>
  <si>
    <t>Is this product marketed with special claim/s such as Halal? Kosher? Organic? Free range? Fair Trade? Vegan? Vegetarian? Non-GMO? 'Free-from' or with any other special claims?</t>
  </si>
  <si>
    <t>Is this product marketed with health or nutrition claims?</t>
  </si>
  <si>
    <t>Is this product expensive?</t>
  </si>
  <si>
    <t>Vulnerability Assessment for Food Fraud</t>
  </si>
  <si>
    <t>Does this product contain any vulnerable characterising ingredients or is it primarily composed of material that is vulnerable to food fraud?</t>
  </si>
  <si>
    <t>Is this material one that has been implicated in previous incidences of food fraud?</t>
  </si>
  <si>
    <t>Have there been any recent alerts or news about food fraud for this material?</t>
  </si>
  <si>
    <t>Products containing this ingredient or raw material</t>
  </si>
  <si>
    <t>Site(s) for this assessment</t>
  </si>
  <si>
    <t>Info (link to webpage)</t>
  </si>
  <si>
    <t>Site(s)</t>
  </si>
  <si>
    <t>Assessment of likelihood that food fraud will affect this material</t>
  </si>
  <si>
    <t>Assessment of the consequences of food fraud</t>
  </si>
  <si>
    <t>Describe actions taken to prevent food fraud from affecting this material</t>
  </si>
  <si>
    <t>Describe actions taken to detect whether this material has been subject to food fraud</t>
  </si>
  <si>
    <t>Describe actions taken to mitigate the effects of food fraud if it has occurred (mitigate = to lessen or make less severe)</t>
  </si>
  <si>
    <t>Site</t>
  </si>
  <si>
    <t>Is the supply chain of a type that allows multiple points of entry for fraudulent material?  Entry points for fraudulent materials are points in the supply chain at which a motivated person could adulterate or dilute the material or substitute an inauthentic material in its place.  These points are most likely to be places where the material is blended, mixed, ground or where it is stored or transported in a manner that would allow a motivated person to easily gain access to the material.</t>
  </si>
  <si>
    <t>Allergen-related claims</t>
  </si>
  <si>
    <t>Type your comments about food fraud affecting this material here</t>
  </si>
  <si>
    <t>Disregard this question when assessing a product</t>
  </si>
  <si>
    <t>View the Controls report</t>
  </si>
  <si>
    <t>Materials included in this assessment</t>
  </si>
  <si>
    <t>Purpose and scope</t>
  </si>
  <si>
    <t>Description</t>
  </si>
  <si>
    <t>Name of group</t>
  </si>
  <si>
    <t>Consequences of fraud</t>
  </si>
  <si>
    <t>Possible impacts of food fraud:</t>
  </si>
  <si>
    <t>There are financial risks associated with any incidence of food fraud.  If your company has a Risk Officer or an Enterprise Risk Management Plan the relevant persons should be informed of the results of your vulnerability assessment and consulted about how to prioritise the prevention and mitigation planning that should be done after each vulnerability assessment.</t>
  </si>
  <si>
    <t>Initial screening or full assessment?</t>
  </si>
  <si>
    <t>Initial screening</t>
  </si>
  <si>
    <t>Likelihood of this material being affected by food fraud</t>
  </si>
  <si>
    <t>Consequences of food fraud on this material</t>
  </si>
  <si>
    <t>Insert name of material or material group here</t>
  </si>
  <si>
    <t>I1</t>
  </si>
  <si>
    <t>I2</t>
  </si>
  <si>
    <t>I3</t>
  </si>
  <si>
    <t>I4</t>
  </si>
  <si>
    <t>Pre-screening likelihood (calculated)</t>
  </si>
  <si>
    <t>I5</t>
  </si>
  <si>
    <t>Pre-screening likelihood (user rating)</t>
  </si>
  <si>
    <t>I6</t>
  </si>
  <si>
    <t>Health hazards</t>
  </si>
  <si>
    <t>I7</t>
  </si>
  <si>
    <t>Financial impacts</t>
  </si>
  <si>
    <t>Any other impacts</t>
  </si>
  <si>
    <t>Are there any other features of this food type that make it particularly susceptible to food fraud?</t>
  </si>
  <si>
    <t>Would food fraud in this food give rise to health hazards?</t>
  </si>
  <si>
    <t>Are there any other significant impacts that could arise from food fraud in this food?</t>
  </si>
  <si>
    <t>I8</t>
  </si>
  <si>
    <t>I9</t>
  </si>
  <si>
    <t>I10</t>
  </si>
  <si>
    <t>Pre-screening consequences (impact)
User rating</t>
  </si>
  <si>
    <t>Pre-screening consequences (impact)
Calculated</t>
  </si>
  <si>
    <t>Consequences of food fraud within supply chain for this product group</t>
  </si>
  <si>
    <t xml:space="preserve">Choose your own estimate of likelihood that food fraud will affect this material prior to arrival at your facility </t>
  </si>
  <si>
    <t>Choose your own estimate of likelihood of food fraud affecting this food type</t>
  </si>
  <si>
    <t>Estimating Impact</t>
  </si>
  <si>
    <t>Step 3a
(optional)</t>
  </si>
  <si>
    <t>Initial screening for food fraud (optional)</t>
  </si>
  <si>
    <t>View your pre-screen results and create a report</t>
  </si>
  <si>
    <t>Initial Screening for Food Fraud</t>
  </si>
  <si>
    <t>Red areas = high risk; a complete vulnerability assessment is required</t>
  </si>
  <si>
    <t>Yellow areas = medium risk: a full vulnerability assessment should be performed</t>
  </si>
  <si>
    <t>error check</t>
  </si>
  <si>
    <t>Estimate of likelihood is based on the following:</t>
  </si>
  <si>
    <t>Any other concerns</t>
  </si>
  <si>
    <t>Would food fraud in this food have financial impacts on this business?</t>
  </si>
  <si>
    <t>Estimate of impact is based on the following:</t>
  </si>
  <si>
    <t>Other concerns</t>
  </si>
  <si>
    <t>Other impacts</t>
  </si>
  <si>
    <t>Likelihood vs consequences</t>
  </si>
  <si>
    <t>View and print results</t>
  </si>
  <si>
    <t>Type a description of the group of materials here</t>
  </si>
  <si>
    <t>Food safety risks: any adulteration, substitution or dilution of an ingredient should be treated as a serious food safety issue as a first priority.   There can be direct food safety risks to consumers from contaminated adulterants, allergenic adulterants or unhygienic handling of the ingredient during any adulteration or substitution.  There can also be an indirect food safety risk to consumers from adulterants that cause chronic disease, or are carcinogenic or are lacking in nutrients that should be present in an authentic product.</t>
  </si>
  <si>
    <t>Loss of consumer trust: problems with your product or product group can be catastrophic for your brand.</t>
  </si>
  <si>
    <t>Indirect risks: adulteration, substitution or dilution of an ingredient indicates a flaw in the traceability of your product, which means non-compliance with the requirements of food safety standards and regulations.</t>
  </si>
  <si>
    <r>
      <t xml:space="preserve">Product or ingredient or raw material? </t>
    </r>
    <r>
      <rPr>
        <sz val="9"/>
        <color theme="2" tint="-0.749992370372631"/>
        <rFont val="Arial"/>
        <family val="2"/>
      </rPr>
      <t>(choose from the dropdown list)</t>
    </r>
  </si>
  <si>
    <r>
      <t xml:space="preserve">Used in these products </t>
    </r>
    <r>
      <rPr>
        <sz val="9"/>
        <color theme="2" tint="-0.749992370372631"/>
        <rFont val="Arial"/>
        <family val="2"/>
      </rPr>
      <t>(disregard if you
are performing a vulnerability assessment on a product or product group)</t>
    </r>
  </si>
  <si>
    <t>Does this product have to comply with regulatory standards that define its composition?</t>
  </si>
  <si>
    <t>Is this a characterising ingredient of any product?</t>
  </si>
  <si>
    <t>Products, ingredients and raw materials that are traded on specific properties are those for which the price is dependent on the content of water, dairy fat, nitrogen (protein), cocoa solids or some other key component. Answer ‘yes’ here if your business pays a price that is dependent on a specific property of the food or if your supplier(s) pay a price depends on a property of the food, even if your business pays a flat rate.
If you are unsure, speak to your purchasing officer.</t>
  </si>
  <si>
    <t>Answer ‘yes’ for this question if this product, ingredient or raw material originates in a country that is politically unstable or very poor.  The Global Food Security Index (http://foodsecurityindex.eiu.com/) has specific information about food quality and food safety issues in 113 countries.</t>
  </si>
  <si>
    <t>If you are performing vulnerability assessments to meet the requirements of a food safety management system, there is no need to perform an initial screening.</t>
  </si>
  <si>
    <t xml:space="preserve">An initial screening is recommended by food fraud experts because it can be helpful to prioritise food fraud prevention activities.  The initial screening will provide quick results.  The results of an initial screening can be used to choose which food ingredients, raw materials or products most urgently need a full vulnerability assessment.  Initial screening results may satisfy the requirements of some food safety regulations and standards, but will not be sufficient to meet the requirements of GFSI food safety management system standards. 
Initial screenings are typically conducted on larger groups of foods rather than on individual ingredients or products.  For example you might choose to screen groups such as locally grown fruit, locally grown grains, imported fruit, imported confectionery, whole spices or ground spices.  It can be helpful to categorise foods for pre-screening by their geographical sources, types of suppliers or by the form of the food type.  Whatever you choose, be sure to provide a description of the group in the scope section.
An initial screening includes a food fraud incident review combined with a consideration of health hazard impacts and financial impacts of food fraud for the item that is being assessed. </t>
  </si>
  <si>
    <t>Product or ingredient or raw material?</t>
  </si>
  <si>
    <r>
      <t xml:space="preserve">Do a </t>
    </r>
    <r>
      <rPr>
        <b/>
        <sz val="11"/>
        <color rgb="FF000000"/>
        <rFont val="Arial"/>
        <family val="2"/>
      </rPr>
      <t>product-level assessment</t>
    </r>
    <r>
      <rPr>
        <sz val="11"/>
        <color rgb="FF000000"/>
        <rFont val="Arial"/>
        <family val="2"/>
      </rPr>
      <t xml:space="preserve"> if you are not manufacturing or substantially transforming food in your facility, for example if you are purchasing food products that are ready to be sold as they are, either to consumers or to other businesses.  In this case you would be a food retailer, wholesaler, broker, importer, distributor, restaurant or caterer.  Product level assessments are also suitable for businesses that are repacking products, for example by taking bulk quantities of food items and packing them into smaller quantities for retail or wholesale customers. </t>
    </r>
  </si>
  <si>
    <r>
      <t>If you are transforming the food items in any way, such as manufacturing then you should do an</t>
    </r>
    <r>
      <rPr>
        <b/>
        <sz val="11"/>
        <color rgb="FF000000"/>
        <rFont val="Arial"/>
        <family val="2"/>
      </rPr>
      <t xml:space="preserve"> ingredient assessment</t>
    </r>
    <r>
      <rPr>
        <sz val="11"/>
        <color rgb="FF000000"/>
        <rFont val="Arial"/>
        <family val="2"/>
      </rPr>
      <t xml:space="preserve"> on each of the ingredients or raw materials.  Raw materials can include primary packaging and processing aids. </t>
    </r>
  </si>
  <si>
    <t>Spink, et al (2016). Introducing the Food Fraud Initial Screening model (FFIS). Food Control (69), pp306–314.</t>
  </si>
  <si>
    <t>Materials that have markets with large monetary values are those that are traded in very large quantities across many countries or materials that are very expensive.  Tea, coffee, cocoa, sugar all have markets with a large monetary value.</t>
  </si>
  <si>
    <t>Use the following as a guide for ingredients and raw materials:  If the purchase price is more than USD20 per kg or USD20,000 per metric tonne or EUR18 per kg or 18,000 per metric tonne answer ‘yes very expensive’.  If the purchase price is less than EUR600 or USD650 per metric tonne, answer ‘no’.</t>
  </si>
  <si>
    <t>If you are performing an assessment on a product, the answer should be based on a comparison with other similar or competing products in the same marketplace.</t>
  </si>
  <si>
    <t>Do you consider the supply chain of this material to be complex and/or long?  An example of a short supply chain is wheat flour purchased directly from a flour mill that processes locally grown wheat.  A complex supply chain is one that involves many different businesses handling, processing, storing and transporting a product and its component parts.   Most imported materials have a long and complex supply chain.  Most processed food products have long and complex supply chains.</t>
  </si>
  <si>
    <t>Likelihood Results</t>
  </si>
  <si>
    <t>Help with consequences</t>
  </si>
  <si>
    <t>Help with likelihood</t>
  </si>
  <si>
    <t xml:space="preserve">Characterising ingredients (also called characterising components) are ingredients that define a food product.  For example, chocolate is defined by the fact that it contains cocoa solids.  A pie isn't called a 'meat' pie unless it contains meat, so meat is the  characterising ingredient in a meat pie.  Mango is a characterising ingredient of mango yoghurt.  In some jurisdictions the content of a characterising ingredient in a food will have to be explicitly stated on the package.  Some foods, such as milk, cheese, white bread, croissant, salmon fillets, rice do not have a characterising ingredient. </t>
  </si>
  <si>
    <r>
      <t xml:space="preserve">Optional step: describe actions taken (if any) to prevent, deter, detect or mitigate food fraud for this material.  
If this material requires a control plan to prevent food fraud you may choose to include that plan in this worksheet.  The format is quite simple and will not be suitable for all businesses or for complicated plans.  A printable report is created with the information that is entered into the </t>
    </r>
    <r>
      <rPr>
        <i/>
        <sz val="11"/>
        <rFont val="Calibri"/>
        <family val="2"/>
        <scheme val="minor"/>
      </rPr>
      <t>Controls Worksheet</t>
    </r>
    <r>
      <rPr>
        <sz val="11"/>
        <rFont val="Calibri"/>
        <family val="2"/>
        <scheme val="minor"/>
      </rPr>
      <t>.</t>
    </r>
  </si>
  <si>
    <t>Send us your thoughts using this contact form</t>
  </si>
  <si>
    <t>… Or post your comments and discuss your results with other users on our Facebook page</t>
  </si>
  <si>
    <t>what is an initial screening?</t>
  </si>
  <si>
    <t>If you need to do both an initial screening and a full assessment of the same product, they should be saved as two separate files.  It is not possible to create both types of assessment within a single Excel file. 
If you are using this tool to create vulnerability assessments for a food safety management system audit, you probably do not need to perform an initial screening step.</t>
  </si>
  <si>
    <r>
      <rPr>
        <b/>
        <sz val="11"/>
        <color rgb="FF000000"/>
        <rFont val="Calibri"/>
        <family val="2"/>
        <scheme val="minor"/>
      </rPr>
      <t>Perform an 'initial screening' (optional):</t>
    </r>
    <r>
      <rPr>
        <sz val="11"/>
        <color rgb="FF000000"/>
        <rFont val="Calibri"/>
        <family val="2"/>
        <scheme val="minor"/>
      </rPr>
      <t xml:space="preserve">  Answer questions about your material on the </t>
    </r>
    <r>
      <rPr>
        <i/>
        <sz val="11"/>
        <color rgb="FF000000"/>
        <rFont val="Calibri"/>
        <family val="2"/>
        <scheme val="minor"/>
      </rPr>
      <t>Initial Screening Worksheet</t>
    </r>
    <r>
      <rPr>
        <sz val="11"/>
        <color rgb="FF000000"/>
        <rFont val="Calibri"/>
        <family val="2"/>
        <scheme val="minor"/>
      </rPr>
      <t xml:space="preserve">.  The answers are used to populate a simple risk matrix and create a report that includes purpose, scope and initial screening results. 
That's it!  View and print or export your initial screening results from the </t>
    </r>
    <r>
      <rPr>
        <i/>
        <sz val="11"/>
        <color rgb="FF000000"/>
        <rFont val="Calibri"/>
        <family val="2"/>
        <scheme val="minor"/>
      </rPr>
      <t>Results section 1</t>
    </r>
    <r>
      <rPr>
        <sz val="11"/>
        <color rgb="FF000000"/>
        <rFont val="Calibri"/>
        <family val="2"/>
        <scheme val="minor"/>
      </rPr>
      <t xml:space="preserve"> tab at the bottom of your screen. 
If you only need an initial screening for food fraud, stop here, your work is done.</t>
    </r>
  </si>
  <si>
    <t>Learn more about initial screening in this 2016 paper by Dr John Spink, Dr Douglas Moyer and Dr Cheri Speier-Pero of Michigan State University's Food Fraud Initiative:</t>
  </si>
  <si>
    <r>
      <t xml:space="preserve">Answer ‘yes all suppliers are audited’ for this question if you know that all the suppliers from whom you purchase this material </t>
    </r>
    <r>
      <rPr>
        <b/>
        <sz val="11"/>
        <rFont val="Arial"/>
        <family val="2"/>
      </rPr>
      <t>and</t>
    </r>
    <r>
      <rPr>
        <sz val="11"/>
        <rFont val="Arial"/>
        <family val="2"/>
      </rPr>
      <t xml:space="preserve"> their suppliers are audited by your business or by third parties.  Suppliers that have been successfully audited by third parties will have current certificates of conformance to food safety standards; for example they will be ‘BRC certified’ or ‘SQF certified’.</t>
    </r>
  </si>
  <si>
    <r>
      <t>Examples: </t>
    </r>
    <r>
      <rPr>
        <i/>
        <sz val="11"/>
        <rFont val="Arial"/>
        <family val="2"/>
      </rPr>
      <t>Nut Free, Low in lactose, Contains no soy, No sulphates, Made from corn not wheat, Dairy-free.</t>
    </r>
  </si>
  <si>
    <r>
      <t>Products that are claimed to be free from allergens, either explicitly or implicitly, present a greater risk if they are fraudulently adulterated.  Different jurisdictions have different requirements for allergen claims and allergen warnings as well as different definitions for common food allergens.  Include anything that is relevant to your products and regulatory requirements.  Allergen claims that should be included here are claims that the product is friendly to allergenic or intolerant consumers such as being low-in or free-from various allergens.  
For the purposes of this question disregard warnings about the presence of allergens such as </t>
    </r>
    <r>
      <rPr>
        <i/>
        <sz val="11"/>
        <rFont val="Arial"/>
        <family val="2"/>
      </rPr>
      <t>May contain traces of nuts</t>
    </r>
    <r>
      <rPr>
        <sz val="11"/>
        <rFont val="Arial"/>
        <family val="2"/>
      </rPr>
      <t xml:space="preserve"> or </t>
    </r>
    <r>
      <rPr>
        <i/>
        <sz val="11"/>
        <rFont val="Arial"/>
        <family val="2"/>
      </rPr>
      <t>Manufactured in a facility that also processes soy</t>
    </r>
    <r>
      <rPr>
        <sz val="11"/>
        <rFont val="Arial"/>
        <family val="2"/>
      </rPr>
      <t>; these warnings reduce the risk to allergenic consumers, whereas the intention of this question is to capture claims that increase the risk.</t>
    </r>
  </si>
  <si>
    <r>
      <t>The </t>
    </r>
    <r>
      <rPr>
        <i/>
        <sz val="11"/>
        <rFont val="Arial"/>
        <family val="2"/>
      </rPr>
      <t>Vulnerability Assessment Tool</t>
    </r>
    <r>
      <rPr>
        <sz val="11"/>
        <rFont val="Arial"/>
        <family val="2"/>
      </rPr>
      <t> can help you to understand out how severely your consumers, products, brands and business would be effected by food fraud.  No matter what answer the </t>
    </r>
    <r>
      <rPr>
        <i/>
        <sz val="11"/>
        <rFont val="Arial"/>
        <family val="2"/>
      </rPr>
      <t>tool</t>
    </r>
    <r>
      <rPr>
        <sz val="11"/>
        <rFont val="Arial"/>
        <family val="2"/>
      </rPr>
      <t> calculates, you, with advice from other experts within the business should carefully consider the impact/s, including those listed below, and make your own choice.  Add your own choice to the row C14 ‘User rating’.  The overall vulnerability rating is determined with the ‘User rating’; if a user rating has been entered it will override the calculated result.</t>
    </r>
  </si>
  <si>
    <r>
      <rPr>
        <b/>
        <sz val="11"/>
        <color rgb="FF000000"/>
        <rFont val="Calibri"/>
        <family val="2"/>
        <scheme val="minor"/>
      </rPr>
      <t xml:space="preserve">Enter some basic information: </t>
    </r>
    <r>
      <rPr>
        <sz val="11"/>
        <color rgb="FF000000"/>
        <rFont val="Calibri"/>
        <family val="2"/>
        <scheme val="minor"/>
      </rPr>
      <t xml:space="preserve"> Go to the </t>
    </r>
    <r>
      <rPr>
        <i/>
        <sz val="11"/>
        <color rgb="FF000000"/>
        <rFont val="Calibri"/>
        <family val="2"/>
        <scheme val="minor"/>
      </rPr>
      <t>Scope Worksheet</t>
    </r>
    <r>
      <rPr>
        <sz val="11"/>
        <color rgb="FF000000"/>
        <rFont val="Calibri"/>
        <family val="2"/>
        <scheme val="minor"/>
      </rPr>
      <t xml:space="preserve"> (click the tab labelled </t>
    </r>
    <r>
      <rPr>
        <i/>
        <sz val="11"/>
        <color rgb="FF000000"/>
        <rFont val="Calibri"/>
        <family val="2"/>
        <scheme val="minor"/>
      </rPr>
      <t>Scope Worksheet</t>
    </r>
    <r>
      <rPr>
        <sz val="11"/>
        <color rgb="FF000000"/>
        <rFont val="Calibri"/>
        <family val="2"/>
        <scheme val="minor"/>
      </rPr>
      <t xml:space="preserve"> at the bottom of your screen or the link to your right) .  Type the name of the material you will be assessing, your name and job role and the date into the boxes in the worksheet.</t>
    </r>
  </si>
  <si>
    <t>take me to the scope worksheet</t>
  </si>
  <si>
    <r>
      <t xml:space="preserve">If you are performing a full assessment rather than an initial screening, proceed from the scope worksheet to the likelihood worksheet.  </t>
    </r>
    <r>
      <rPr>
        <b/>
        <sz val="11"/>
        <color rgb="FF000000"/>
        <rFont val="Calibri"/>
        <family val="2"/>
        <scheme val="minor"/>
      </rPr>
      <t xml:space="preserve">Answer questions in the </t>
    </r>
    <r>
      <rPr>
        <b/>
        <i/>
        <sz val="11"/>
        <color rgb="FF000000"/>
        <rFont val="Calibri"/>
        <family val="2"/>
        <scheme val="minor"/>
      </rPr>
      <t>Likelihood Worksheet</t>
    </r>
    <r>
      <rPr>
        <sz val="11"/>
        <color rgb="FF000000"/>
        <rFont val="Calibri"/>
        <family val="2"/>
        <scheme val="minor"/>
      </rPr>
      <t xml:space="preserve"> to estimate the likelihood of food fraud affecting the material.  Choose answers from the dropdown lists provided and add comments if desired.  This information will be used to estimate the likelihood of food fraud affecting the material. 
If you disagree with the calculated estimate, there is space to add your own instead.  The user's estimate always overrides the calculated estimate to produce the final result.</t>
    </r>
  </si>
  <si>
    <t>perform an initial screening</t>
  </si>
  <si>
    <t>Back to scope worksheet</t>
  </si>
  <si>
    <t>This is an initial screening for vulnerability to food fraud for the materials listed below.  The purpose is to quickly identify food types that present serious risks to the business so that actions to prevent food fraud can be prioritised.  The screening addresses food fraud that might occur within the supply chain of the material, before it reaches this facility(s), it does not address vulnerabilities within this facility(s).</t>
  </si>
  <si>
    <t>Forward to Consequences worksheet</t>
  </si>
  <si>
    <t>Does this material, or products it is used in, have to comply with regulations that define its (their) composition?</t>
  </si>
  <si>
    <r>
      <rPr>
        <b/>
        <sz val="11"/>
        <color rgb="FF000000"/>
        <rFont val="Calibri"/>
        <family val="2"/>
        <scheme val="minor"/>
      </rPr>
      <t xml:space="preserve">Answer questions in the </t>
    </r>
    <r>
      <rPr>
        <b/>
        <i/>
        <sz val="11"/>
        <color rgb="FF000000"/>
        <rFont val="Calibri"/>
        <family val="2"/>
        <scheme val="minor"/>
      </rPr>
      <t>Consequences Worksheet</t>
    </r>
    <r>
      <rPr>
        <b/>
        <sz val="11"/>
        <color rgb="FF000000"/>
        <rFont val="Calibri"/>
        <family val="2"/>
        <scheme val="minor"/>
      </rPr>
      <t xml:space="preserve"> </t>
    </r>
    <r>
      <rPr>
        <sz val="11"/>
        <color rgb="FF000000"/>
        <rFont val="Calibri"/>
        <family val="2"/>
        <scheme val="minor"/>
      </rPr>
      <t>to estimate how severe the consequences would be if food fraud does affect the material.  Choose answers from the dropdown lists provided and add comments if desired.  This information will be used to determine the severity of the consequences if food fraud was to affect the material.   
If you are unsure of an answer, just insert your best guess; you can come back later when you have more information.</t>
    </r>
  </si>
  <si>
    <r>
      <t xml:space="preserve">The answers that were entered in the </t>
    </r>
    <r>
      <rPr>
        <i/>
        <sz val="11"/>
        <color rgb="FF000000"/>
        <rFont val="Calibri"/>
        <family val="2"/>
        <scheme val="minor"/>
      </rPr>
      <t>Likelihood Worksheet</t>
    </r>
    <r>
      <rPr>
        <sz val="11"/>
        <color rgb="FF000000"/>
        <rFont val="Calibri"/>
        <family val="2"/>
        <scheme val="minor"/>
      </rPr>
      <t xml:space="preserve"> and </t>
    </r>
    <r>
      <rPr>
        <i/>
        <sz val="11"/>
        <color rgb="FF000000"/>
        <rFont val="Calibri"/>
        <family val="2"/>
        <scheme val="minor"/>
      </rPr>
      <t>Consequences Worksheet</t>
    </r>
    <r>
      <rPr>
        <sz val="11"/>
        <color rgb="FF000000"/>
        <rFont val="Calibri"/>
        <family val="2"/>
        <scheme val="minor"/>
      </rPr>
      <t xml:space="preserve"> automatically populate a risk matrix that shows the overall vulnerability of the material. 
</t>
    </r>
    <r>
      <rPr>
        <b/>
        <sz val="11"/>
        <color rgb="FF000000"/>
        <rFont val="Calibri"/>
        <family val="2"/>
        <scheme val="minor"/>
      </rPr>
      <t>View and print results</t>
    </r>
    <r>
      <rPr>
        <sz val="11"/>
        <color rgb="FF000000"/>
        <rFont val="Calibri"/>
        <family val="2"/>
        <scheme val="minor"/>
      </rPr>
      <t xml:space="preserve"> for the material by going to the Results sheets (click on the tabs at the bottom of your screen).  There are two sheets of results.  Section 1 contains purpose, scope and author information.  Section 2 contains the risk assessment results, including the risk matrix and the information used to determine the results.  These sheets are formatted for printing to paper or pdf for your audit.</t>
    </r>
  </si>
  <si>
    <t>Consequences</t>
  </si>
  <si>
    <t>support@foodfraudadvisors.com</t>
  </si>
  <si>
    <t>Request an unlocked version of this spreadsheet from Food Fraud Advisors</t>
  </si>
  <si>
    <t>yes=-1, no=0</t>
  </si>
  <si>
    <t>Likelihood and Consequence Descriptors</t>
  </si>
  <si>
    <t>for Vulnerability Assessment for Food Fraud</t>
  </si>
  <si>
    <t>Likelihood Descriptors</t>
  </si>
  <si>
    <t>Consequence Descriptors</t>
  </si>
  <si>
    <t>Rating</t>
  </si>
  <si>
    <t>Likelihood of Occurrence</t>
  </si>
  <si>
    <t>Consumer safety and nutrition</t>
  </si>
  <si>
    <t>Regulatory Compliance and Business Continuity</t>
  </si>
  <si>
    <t>Brand Value</t>
  </si>
  <si>
    <t>Financial Impact</t>
  </si>
  <si>
    <t>Corporate Objectives</t>
  </si>
  <si>
    <t>Very likely/certain</t>
  </si>
  <si>
    <t>Is this material used in a product (or is it a product) that is extremely valuable to your business; is it a flagship brand or product?  Consider the economic consequences of any food fraud incident, including brand value.  Also consider the impacts of any regulatory actions that could result in large fines or recalls if the material was affected.  Is the cost of recall for this food particularly high?  Do key customers impose hefty penalties for breaches of authenticity?  Would market access be affected if this product was found to be affected by food fraud? 
If you answer 'yes' for this question be sure to describe the economic considerations in the comments section.</t>
  </si>
  <si>
    <t>yes=2, no=0, don't know=2</t>
  </si>
  <si>
    <t>Insider activities</t>
  </si>
  <si>
    <t>yes very well protected=0, somewhat protected = 0.5, no=0</t>
  </si>
  <si>
    <t xml:space="preserve">Is this material protected from theft by insiders and other food fraud perpetrated by insiders (for economic gain) while on this site? </t>
  </si>
  <si>
    <t>L29</t>
  </si>
  <si>
    <t>If all suppliers are audited to relevant std, a weighting is applied.</t>
  </si>
  <si>
    <t>upstream (L1 - L25)  likelihood percentage score incl weightings</t>
  </si>
  <si>
    <t>onsite likelihood (L26, L27)</t>
  </si>
  <si>
    <t>downstream likelihood (L28-L29)</t>
  </si>
  <si>
    <r>
      <t xml:space="preserve">Food Fraud Advisors </t>
    </r>
    <r>
      <rPr>
        <sz val="10"/>
        <rFont val="Symbol"/>
        <family val="1"/>
        <charset val="2"/>
      </rPr>
      <t>ã</t>
    </r>
    <r>
      <rPr>
        <sz val="10"/>
        <rFont val="Arial"/>
        <family val="2"/>
      </rPr>
      <t xml:space="preserve"> 2019</t>
    </r>
  </si>
  <si>
    <t>yes desirable and easy = 1, somewhat desirable or easy = 0.5, no not a desirable target = 0, no not an easy target, not applicable (ingredient) = 0</t>
  </si>
  <si>
    <t>yes desirable target =1, somewhat desirable=0.5, no=0, not applicable (ingredient)=0</t>
  </si>
  <si>
    <t>Score (largest of upstream, on-site and downstream scores)</t>
  </si>
  <si>
    <t>total score (used only for error checks)</t>
  </si>
  <si>
    <t>Is this material traded on specific properties such as protein content?</t>
  </si>
  <si>
    <t>weighting for robust testing and supplier audits</t>
  </si>
  <si>
    <t>L30</t>
  </si>
  <si>
    <t>L31</t>
  </si>
  <si>
    <t xml:space="preserve">‘Insiders’ are current or former employees, contractors and service providers who know your business and/or facilities well.  Food fraud perpetrated by insiders is often theft-type fraud; either theft of raw materials or of finished product.  To answer this question consider which people have access to the material while it is on this site and how that access is controlled.  For people who are authorised to access the material or have legitimate reasons to gain access to the material, would it be easy or difficult for them to steal it or otherwise tamper with it for the purposes of economic gain?  </t>
  </si>
  <si>
    <t xml:space="preserve">This is an estimate of the likelihood of food fraud affecting this material prior to its receipt into your facility.  If you disagree with the results, progress to the row below (L31) and choose your estimate from the dropdown list.  Your estimate will be used for the overall risk rating.  If you agree with the calculated results there is no need to add your own estimate.   </t>
  </si>
  <si>
    <r>
      <t xml:space="preserve">L21
</t>
    </r>
    <r>
      <rPr>
        <b/>
        <sz val="8"/>
        <rFont val="Arial"/>
        <family val="2"/>
      </rPr>
      <t>new</t>
    </r>
  </si>
  <si>
    <r>
      <t xml:space="preserve">L25
</t>
    </r>
    <r>
      <rPr>
        <b/>
        <sz val="8"/>
        <rFont val="Arial"/>
        <family val="2"/>
      </rPr>
      <t>new</t>
    </r>
  </si>
  <si>
    <r>
      <t xml:space="preserve">L26
</t>
    </r>
    <r>
      <rPr>
        <b/>
        <sz val="8"/>
        <rFont val="Arial"/>
        <family val="2"/>
      </rPr>
      <t>new</t>
    </r>
  </si>
  <si>
    <r>
      <t xml:space="preserve">L27
</t>
    </r>
    <r>
      <rPr>
        <b/>
        <sz val="8"/>
        <rFont val="Arial"/>
        <family val="2"/>
      </rPr>
      <t>new</t>
    </r>
  </si>
  <si>
    <r>
      <t xml:space="preserve">L28
</t>
    </r>
    <r>
      <rPr>
        <b/>
        <sz val="8"/>
        <rFont val="Arial"/>
        <family val="2"/>
      </rPr>
      <t>new</t>
    </r>
  </si>
  <si>
    <r>
      <t xml:space="preserve">L29
</t>
    </r>
    <r>
      <rPr>
        <b/>
        <sz val="8"/>
        <rFont val="Arial"/>
        <family val="2"/>
      </rPr>
      <t>new</t>
    </r>
  </si>
  <si>
    <t>Food Fraud Advisors 2019</t>
  </si>
  <si>
    <t>This vulnerability assessment tool uses the following definition of food fraud:</t>
  </si>
  <si>
    <t>Definitions</t>
  </si>
  <si>
    <r>
      <t xml:space="preserve">Types of food fraud, such as counterfeiting are defined in </t>
    </r>
    <r>
      <rPr>
        <i/>
        <sz val="10"/>
        <color theme="1" tint="0.14999847407452621"/>
        <rFont val="Arial"/>
        <family val="2"/>
      </rPr>
      <t>Tackling Food Fraud through Food Safety Management Systems, GFSI</t>
    </r>
    <r>
      <rPr>
        <sz val="10"/>
        <color theme="1" tint="0.14999847407452621"/>
        <rFont val="Arial"/>
        <family val="2"/>
      </rPr>
      <t xml:space="preserve"> (2018).</t>
    </r>
  </si>
  <si>
    <t xml:space="preserve"> Food fraud: A collective term encompassing the deliberate and intentional substitution, addition, tampering or misrepresentation of food, food ingredients or food packaging, labelling, product information or false or misleading statements made about a raw material, ingredient or product for economic gain.  Food fraud includes substitution, unapproved enhancements, misbranding, counterfeiting, stolen goods.</t>
  </si>
  <si>
    <r>
      <t xml:space="preserve">The definition is derived from, and closely matches, definitions published by the Consumer Goods Forum in their Global Food Safety Initiative (GFSI) </t>
    </r>
    <r>
      <rPr>
        <i/>
        <sz val="10"/>
        <color theme="1" tint="0.14999847407452621"/>
        <rFont val="Arial"/>
        <family val="2"/>
      </rPr>
      <t>Benchmarking Requirements v7.0</t>
    </r>
    <r>
      <rPr>
        <sz val="10"/>
        <color theme="1" tint="0.14999847407452621"/>
        <rFont val="Arial"/>
        <family val="2"/>
      </rPr>
      <t xml:space="preserve"> (2017) and </t>
    </r>
    <r>
      <rPr>
        <i/>
        <sz val="10"/>
        <color theme="1" tint="0.14999847407452621"/>
        <rFont val="Arial"/>
        <family val="2"/>
      </rPr>
      <t>Food Fraud Position Paper</t>
    </r>
    <r>
      <rPr>
        <sz val="10"/>
        <color theme="1" tint="0.14999847407452621"/>
        <rFont val="Arial"/>
        <family val="2"/>
      </rPr>
      <t xml:space="preserve"> (2014) and reproduced in </t>
    </r>
    <r>
      <rPr>
        <i/>
        <sz val="10"/>
        <color theme="1" tint="0.14999847407452621"/>
        <rFont val="Arial"/>
        <family val="2"/>
      </rPr>
      <t>Tackling Food Fraud through Food Safety Management Systems, GFSI</t>
    </r>
    <r>
      <rPr>
        <sz val="10"/>
        <color theme="1" tint="0.14999847407452621"/>
        <rFont val="Arial"/>
        <family val="2"/>
      </rPr>
      <t xml:space="preserve"> (2018).</t>
    </r>
  </si>
  <si>
    <t>Full Assessment</t>
  </si>
  <si>
    <t xml:space="preserve">This is an assessment of vulnerability to food fraud for the product(s) listed below, including vulnerability to economically motivated adulteration, substitution, dilution, mislabelling, stolen goods, theft and counterfeiting.  It assesses vulnerabilities prior to receipt of the product (where relevant), vulnerabilities within this facility and vulnerabilities within the supply chain after the product has left this facility. </t>
  </si>
  <si>
    <t>This is an assessment of vulnerability to food fraud for the ingredient(s) and/or raw material(s) listed below, including vulnerability to economically motivated adulteration, substitution, dilution, mislabelling, stolen goods, theft and counterfeiting.  It assesses vulnerabilities prior to receipt and use of the material and vulnerabilities within this facility.</t>
  </si>
  <si>
    <t>Ingredient</t>
  </si>
  <si>
    <t>LOCKED
(unlocked in the paid version)</t>
  </si>
  <si>
    <t>LOCKED</t>
  </si>
  <si>
    <t>Purchase the full version to unlock this content</t>
  </si>
  <si>
    <r>
      <t xml:space="preserve">Prevention, detection and mitigation of food fraud </t>
    </r>
    <r>
      <rPr>
        <b/>
        <sz val="14"/>
        <color rgb="FF00B050"/>
        <rFont val="Arial"/>
        <family val="2"/>
      </rPr>
      <t>- free trial version of Food Fraud Advisors' Vulnerability Assessment Tool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</si>
</sst>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d\-mmm\-yy"/>
    <numFmt numFmtId="165" formatCode="[$-C09]dd\-mmmm\-yyyy;@"/>
  </numFmts>
  <fonts count="79">
    <font>
      <sz val="10"/>
      <color rgb="FF000000"/>
      <name val="Arial"/>
    </font>
    <font>
      <sz val="10"/>
      <name val="Arial"/>
      <family val="2"/>
    </font>
    <font>
      <b/>
      <sz val="12"/>
      <name val="Arial"/>
      <family val="2"/>
    </font>
    <font>
      <sz val="10"/>
      <color rgb="FFFF0000"/>
      <name val="Arial"/>
      <family val="2"/>
    </font>
    <font>
      <b/>
      <sz val="10"/>
      <name val="Arial"/>
      <family val="2"/>
    </font>
    <font>
      <sz val="10"/>
      <color rgb="FF7F7F7F"/>
      <name val="Arial"/>
      <family val="2"/>
    </font>
    <font>
      <b/>
      <sz val="10"/>
      <color rgb="FF000000"/>
      <name val="Arial"/>
      <family val="2"/>
    </font>
    <font>
      <sz val="10"/>
      <name val="Arial"/>
      <family val="2"/>
    </font>
    <font>
      <b/>
      <sz val="16"/>
      <name val="Arial"/>
      <family val="2"/>
    </font>
    <font>
      <b/>
      <sz val="28"/>
      <color rgb="FF00B050"/>
      <name val="Calibri"/>
      <family val="2"/>
    </font>
    <font>
      <b/>
      <sz val="11"/>
      <color rgb="FF00B050"/>
      <name val="Arial"/>
      <family val="2"/>
    </font>
    <font>
      <sz val="14"/>
      <name val="Arial"/>
      <family val="2"/>
    </font>
    <font>
      <b/>
      <sz val="14"/>
      <color rgb="FF000000"/>
      <name val="Arial"/>
      <family val="2"/>
    </font>
    <font>
      <sz val="11"/>
      <color rgb="FF000000"/>
      <name val="Arial"/>
      <family val="2"/>
    </font>
    <font>
      <b/>
      <sz val="12"/>
      <color rgb="FF000000"/>
      <name val="Arial"/>
      <family val="2"/>
    </font>
    <font>
      <sz val="10"/>
      <color rgb="FF000000"/>
      <name val="Arial"/>
      <family val="2"/>
    </font>
    <font>
      <u/>
      <sz val="10"/>
      <color theme="10"/>
      <name val="Arial"/>
      <family val="2"/>
    </font>
    <font>
      <b/>
      <sz val="12"/>
      <color rgb="FF00B050"/>
      <name val="Calibri"/>
      <family val="2"/>
    </font>
    <font>
      <sz val="12"/>
      <color rgb="FF000000"/>
      <name val="Arial"/>
      <family val="2"/>
    </font>
    <font>
      <u/>
      <sz val="12"/>
      <color rgb="FF0000FF"/>
      <name val="Arial"/>
      <family val="2"/>
    </font>
    <font>
      <sz val="10"/>
      <name val="Arial"/>
      <family val="2"/>
    </font>
    <font>
      <b/>
      <i/>
      <sz val="14"/>
      <name val="Arial"/>
      <family val="2"/>
    </font>
    <font>
      <sz val="12"/>
      <color rgb="FF000000"/>
      <name val="Calibri"/>
      <family val="2"/>
    </font>
    <font>
      <sz val="9"/>
      <name val="Arial"/>
      <family val="2"/>
    </font>
    <font>
      <sz val="11"/>
      <color rgb="FF000000"/>
      <name val="Calibri"/>
      <family val="2"/>
      <scheme val="minor"/>
    </font>
    <font>
      <b/>
      <sz val="11"/>
      <color rgb="FF000000"/>
      <name val="Calibri"/>
      <family val="2"/>
      <scheme val="minor"/>
    </font>
    <font>
      <i/>
      <sz val="11"/>
      <color rgb="FF000000"/>
      <name val="Calibri"/>
      <family val="2"/>
      <scheme val="minor"/>
    </font>
    <font>
      <b/>
      <sz val="11"/>
      <color rgb="FF00B050"/>
      <name val="Calibri"/>
      <family val="2"/>
      <scheme val="minor"/>
    </font>
    <font>
      <u/>
      <sz val="11"/>
      <color theme="10"/>
      <name val="Arial"/>
      <family val="2"/>
    </font>
    <font>
      <b/>
      <i/>
      <sz val="12"/>
      <name val="Arial"/>
      <family val="2"/>
    </font>
    <font>
      <sz val="12"/>
      <name val="Arial"/>
      <family val="2"/>
    </font>
    <font>
      <sz val="10"/>
      <name val="Arial Rounded MT Bold"/>
      <family val="2"/>
    </font>
    <font>
      <sz val="10"/>
      <color rgb="FF000000"/>
      <name val="Arial Rounded MT Bold"/>
      <family val="2"/>
    </font>
    <font>
      <b/>
      <sz val="11"/>
      <name val="Arial"/>
      <family val="2"/>
    </font>
    <font>
      <b/>
      <sz val="14"/>
      <name val="Arial"/>
      <family val="2"/>
    </font>
    <font>
      <sz val="12"/>
      <color rgb="FFFF0000"/>
      <name val="Arial"/>
      <family val="2"/>
    </font>
    <font>
      <sz val="14"/>
      <color rgb="FF000000"/>
      <name val="Arial"/>
      <family val="2"/>
    </font>
    <font>
      <sz val="12"/>
      <name val="Calibri"/>
      <family val="2"/>
      <scheme val="minor"/>
    </font>
    <font>
      <b/>
      <sz val="10"/>
      <color rgb="FF434343"/>
      <name val="Arial"/>
      <family val="2"/>
    </font>
    <font>
      <u/>
      <sz val="10"/>
      <color rgb="FF0000FF"/>
      <name val="Arial"/>
      <family val="2"/>
    </font>
    <font>
      <sz val="10"/>
      <color rgb="FFFFC000"/>
      <name val="Arial"/>
      <family val="2"/>
    </font>
    <font>
      <sz val="11"/>
      <name val="Calibri"/>
      <family val="2"/>
      <scheme val="minor"/>
    </font>
    <font>
      <b/>
      <sz val="12"/>
      <color rgb="FF00B050"/>
      <name val="Calibri"/>
      <family val="2"/>
      <scheme val="minor"/>
    </font>
    <font>
      <u/>
      <sz val="12"/>
      <color rgb="FF1B05C1"/>
      <name val="Arial"/>
      <family val="2"/>
    </font>
    <font>
      <b/>
      <i/>
      <sz val="12"/>
      <color rgb="FF000000"/>
      <name val="Arial"/>
      <family val="2"/>
    </font>
    <font>
      <sz val="11"/>
      <name val="Arial"/>
      <family val="2"/>
    </font>
    <font>
      <b/>
      <sz val="11"/>
      <color rgb="FF000000"/>
      <name val="Arial"/>
      <family val="2"/>
    </font>
    <font>
      <sz val="10"/>
      <color theme="0"/>
      <name val="Arial"/>
      <family val="2"/>
    </font>
    <font>
      <b/>
      <sz val="16"/>
      <color theme="2" tint="-0.749992370372631"/>
      <name val="Arial"/>
      <family val="2"/>
    </font>
    <font>
      <sz val="10"/>
      <color theme="2" tint="-0.749992370372631"/>
      <name val="Arial"/>
      <family val="2"/>
    </font>
    <font>
      <b/>
      <sz val="12"/>
      <color theme="2" tint="-0.749992370372631"/>
      <name val="Arial"/>
      <family val="2"/>
    </font>
    <font>
      <sz val="9"/>
      <color theme="2" tint="-0.749992370372631"/>
      <name val="Arial"/>
      <family val="2"/>
    </font>
    <font>
      <sz val="12"/>
      <color theme="2" tint="-0.749992370372631"/>
      <name val="Arial"/>
      <family val="2"/>
    </font>
    <font>
      <sz val="14"/>
      <color theme="2" tint="-0.749992370372631"/>
      <name val="Arial"/>
      <family val="2"/>
    </font>
    <font>
      <b/>
      <sz val="14"/>
      <color theme="2" tint="-0.749992370372631"/>
      <name val="Arial"/>
      <family val="2"/>
    </font>
    <font>
      <sz val="16"/>
      <color rgb="FF000000"/>
      <name val="Arial"/>
      <family val="2"/>
    </font>
    <font>
      <i/>
      <sz val="11"/>
      <name val="Calibri"/>
      <family val="2"/>
      <scheme val="minor"/>
    </font>
    <font>
      <b/>
      <sz val="11"/>
      <color theme="2" tint="-0.749992370372631"/>
      <name val="Arial"/>
      <family val="2"/>
    </font>
    <font>
      <sz val="11"/>
      <color theme="2" tint="-0.749992370372631"/>
      <name val="Arial"/>
      <family val="2"/>
    </font>
    <font>
      <i/>
      <sz val="11"/>
      <name val="Arial"/>
      <family val="2"/>
    </font>
    <font>
      <b/>
      <i/>
      <sz val="11"/>
      <color rgb="FF000000"/>
      <name val="Calibri"/>
      <family val="2"/>
      <scheme val="minor"/>
    </font>
    <font>
      <b/>
      <u/>
      <sz val="10"/>
      <color rgb="FF0033CC"/>
      <name val="Arial"/>
      <family val="2"/>
    </font>
    <font>
      <sz val="11"/>
      <color theme="0"/>
      <name val="Arial"/>
      <family val="2"/>
    </font>
    <font>
      <sz val="10"/>
      <color theme="0"/>
      <name val="Arial Rounded MT Bold"/>
      <family val="2"/>
    </font>
    <font>
      <sz val="10"/>
      <name val="Symbol"/>
      <family val="1"/>
      <charset val="2"/>
    </font>
    <font>
      <sz val="10"/>
      <name val="Arial"/>
      <family val="1"/>
      <charset val="2"/>
    </font>
    <font>
      <b/>
      <sz val="10"/>
      <color theme="0"/>
      <name val="Arial"/>
      <family val="2"/>
    </font>
    <font>
      <b/>
      <sz val="8"/>
      <name val="Arial"/>
      <family val="2"/>
    </font>
    <font>
      <sz val="11"/>
      <color rgb="FF000000"/>
      <name val="Calibri"/>
      <family val="2"/>
    </font>
    <font>
      <sz val="10"/>
      <color theme="1" tint="0.14999847407452621"/>
      <name val="Arial"/>
      <family val="2"/>
    </font>
    <font>
      <b/>
      <sz val="16"/>
      <color theme="1" tint="0.14999847407452621"/>
      <name val="Arial"/>
      <family val="2"/>
    </font>
    <font>
      <b/>
      <sz val="14"/>
      <color theme="1" tint="0.14999847407452621"/>
      <name val="Arial"/>
      <family val="2"/>
    </font>
    <font>
      <b/>
      <sz val="11"/>
      <color theme="1" tint="0.14999847407452621"/>
      <name val="Arial"/>
      <family val="2"/>
    </font>
    <font>
      <sz val="11"/>
      <color theme="1" tint="0.14999847407452621"/>
      <name val="Arial"/>
      <family val="2"/>
    </font>
    <font>
      <b/>
      <i/>
      <sz val="11"/>
      <color theme="1"/>
      <name val="Arial"/>
      <family val="2"/>
    </font>
    <font>
      <i/>
      <sz val="10"/>
      <color theme="1" tint="0.14999847407452621"/>
      <name val="Arial"/>
      <family val="2"/>
    </font>
    <font>
      <b/>
      <sz val="14"/>
      <color theme="0" tint="-0.499984740745262"/>
      <name val="Arial"/>
      <family val="2"/>
    </font>
    <font>
      <b/>
      <sz val="10"/>
      <color theme="0" tint="-0.499984740745262"/>
      <name val="Arial"/>
      <family val="2"/>
    </font>
    <font>
      <b/>
      <sz val="14"/>
      <color rgb="FF00B050"/>
      <name val="Arial"/>
      <family val="2"/>
    </font>
  </fonts>
  <fills count="32">
    <fill>
      <patternFill patternType="none"/>
    </fill>
    <fill>
      <patternFill patternType="gray125"/>
    </fill>
    <fill>
      <patternFill patternType="solid">
        <fgColor rgb="FFD8D8D8"/>
        <bgColor rgb="FFD8D8D8"/>
      </patternFill>
    </fill>
    <fill>
      <patternFill patternType="solid">
        <fgColor theme="0"/>
        <bgColor indexed="64"/>
      </patternFill>
    </fill>
    <fill>
      <patternFill patternType="solid">
        <fgColor theme="4" tint="0.59999389629810485"/>
        <bgColor indexed="64"/>
      </patternFill>
    </fill>
    <fill>
      <patternFill patternType="solid">
        <fgColor rgb="FFFF7C80"/>
        <bgColor indexed="64"/>
      </patternFill>
    </fill>
    <fill>
      <patternFill patternType="solid">
        <fgColor rgb="FF99FF99"/>
        <bgColor rgb="FFD9D2E9"/>
      </patternFill>
    </fill>
    <fill>
      <patternFill patternType="solid">
        <fgColor theme="4" tint="0.59999389629810485"/>
        <bgColor rgb="FFD9D2E9"/>
      </patternFill>
    </fill>
    <fill>
      <patternFill patternType="solid">
        <fgColor theme="0" tint="-0.14999847407452621"/>
        <bgColor indexed="64"/>
      </patternFill>
    </fill>
    <fill>
      <patternFill patternType="solid">
        <fgColor theme="7" tint="0.79998168889431442"/>
        <bgColor rgb="FFD9D2E9"/>
      </patternFill>
    </fill>
    <fill>
      <patternFill patternType="solid">
        <fgColor theme="7" tint="0.39997558519241921"/>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theme="0" tint="-0.249977111117893"/>
        <bgColor rgb="FFD9D2E9"/>
      </patternFill>
    </fill>
    <fill>
      <patternFill patternType="solid">
        <fgColor theme="7" tint="0.59999389629810485"/>
        <bgColor indexed="64"/>
      </patternFill>
    </fill>
    <fill>
      <patternFill patternType="solid">
        <fgColor theme="0" tint="-0.14999847407452621"/>
        <bgColor rgb="FFD8D8D8"/>
      </patternFill>
    </fill>
    <fill>
      <patternFill patternType="solid">
        <fgColor rgb="FFFCF2CC"/>
        <bgColor rgb="FFD9D2E9"/>
      </patternFill>
    </fill>
    <fill>
      <patternFill patternType="solid">
        <fgColor rgb="FFFCF2CC"/>
        <bgColor indexed="64"/>
      </patternFill>
    </fill>
    <fill>
      <patternFill patternType="solid">
        <fgColor rgb="FFFCF2CC"/>
        <bgColor rgb="FFA4C2F4"/>
      </patternFill>
    </fill>
    <fill>
      <patternFill patternType="solid">
        <fgColor theme="0" tint="-0.14999847407452621"/>
        <bgColor rgb="FFD9D2E9"/>
      </patternFill>
    </fill>
    <fill>
      <patternFill patternType="solid">
        <fgColor theme="0"/>
        <bgColor rgb="FFA4C2F4"/>
      </patternFill>
    </fill>
    <fill>
      <patternFill patternType="solid">
        <fgColor rgb="FFE1E1FF"/>
        <bgColor indexed="64"/>
      </patternFill>
    </fill>
    <fill>
      <patternFill patternType="solid">
        <fgColor rgb="FFE1E1FF"/>
        <bgColor rgb="FFD9D2E9"/>
      </patternFill>
    </fill>
    <fill>
      <patternFill patternType="solid">
        <fgColor rgb="FFE1E1FF"/>
        <bgColor rgb="FFA4C2F4"/>
      </patternFill>
    </fill>
    <fill>
      <patternFill patternType="solid">
        <fgColor theme="7" tint="0.79998168889431442"/>
        <bgColor indexed="64"/>
      </patternFill>
    </fill>
    <fill>
      <patternFill patternType="solid">
        <fgColor theme="0"/>
        <bgColor rgb="FFD9D2E9"/>
      </patternFill>
    </fill>
    <fill>
      <patternFill patternType="solid">
        <fgColor theme="0" tint="-0.249977111117893"/>
        <bgColor indexed="64"/>
      </patternFill>
    </fill>
    <fill>
      <patternFill patternType="solid">
        <fgColor rgb="FFFFC000"/>
        <bgColor theme="4" tint="-0.24994659260841701"/>
      </patternFill>
    </fill>
    <fill>
      <patternFill patternType="solid">
        <fgColor theme="9" tint="0.79998168889431442"/>
        <bgColor indexed="64"/>
      </patternFill>
    </fill>
    <fill>
      <patternFill patternType="solid">
        <fgColor theme="6" tint="0.59999389629810485"/>
        <bgColor indexed="64"/>
      </patternFill>
    </fill>
    <fill>
      <patternFill patternType="solid">
        <fgColor rgb="FFE7D7CF"/>
        <bgColor indexed="64"/>
      </patternFill>
    </fill>
  </fills>
  <borders count="69">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9" tint="-0.499984740745262"/>
      </left>
      <right style="medium">
        <color theme="9" tint="-0.499984740745262"/>
      </right>
      <top style="medium">
        <color theme="9" tint="-0.499984740745262"/>
      </top>
      <bottom style="medium">
        <color theme="9" tint="-0.499984740745262"/>
      </bottom>
      <diagonal/>
    </border>
    <border>
      <left style="medium">
        <color theme="8" tint="-0.249977111117893"/>
      </left>
      <right style="medium">
        <color theme="8" tint="-0.249977111117893"/>
      </right>
      <top style="medium">
        <color theme="8" tint="-0.249977111117893"/>
      </top>
      <bottom style="medium">
        <color theme="8" tint="-0.249977111117893"/>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indexed="64"/>
      </left>
      <right style="thin">
        <color indexed="64"/>
      </right>
      <top/>
      <bottom/>
      <diagonal/>
    </border>
    <border>
      <left style="thin">
        <color rgb="FF000000"/>
      </left>
      <right/>
      <top/>
      <bottom/>
      <diagonal/>
    </border>
    <border>
      <left/>
      <right style="thin">
        <color rgb="FF000000"/>
      </right>
      <top/>
      <bottom/>
      <diagonal/>
    </border>
    <border>
      <left/>
      <right/>
      <top/>
      <bottom style="thin">
        <color theme="0" tint="-0.499984740745262"/>
      </bottom>
      <diagonal/>
    </border>
    <border>
      <left style="thin">
        <color theme="0" tint="-0.499984740745262"/>
      </left>
      <right/>
      <top/>
      <bottom/>
      <diagonal/>
    </border>
    <border>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right style="thin">
        <color theme="0" tint="-0.499984740745262"/>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rgb="FF000000"/>
      </top>
      <bottom style="thin">
        <color rgb="FF000000"/>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style="thin">
        <color rgb="FF000000"/>
      </bottom>
      <diagonal/>
    </border>
    <border>
      <left style="medium">
        <color theme="5"/>
      </left>
      <right style="medium">
        <color theme="5"/>
      </right>
      <top style="medium">
        <color theme="5"/>
      </top>
      <bottom style="medium">
        <color theme="5"/>
      </bottom>
      <diagonal/>
    </border>
    <border>
      <left/>
      <right style="thin">
        <color theme="0" tint="-0.499984740745262"/>
      </right>
      <top style="thin">
        <color theme="0" tint="-0.499984740745262"/>
      </top>
      <bottom style="thin">
        <color theme="0" tint="-0.499984740745262"/>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thin">
        <color theme="0" tint="-0.499984740745262"/>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s>
  <cellStyleXfs count="2">
    <xf numFmtId="0" fontId="0" fillId="0" borderId="0"/>
    <xf numFmtId="0" fontId="16" fillId="0" borderId="0" applyNumberFormat="0" applyFill="0" applyBorder="0" applyAlignment="0" applyProtection="0"/>
  </cellStyleXfs>
  <cellXfs count="644">
    <xf numFmtId="0" fontId="0" fillId="0" borderId="0" xfId="0"/>
    <xf numFmtId="0" fontId="0" fillId="0" borderId="0" xfId="0" applyProtection="1">
      <protection hidden="1"/>
    </xf>
    <xf numFmtId="0" fontId="8" fillId="0" borderId="0" xfId="0" applyFont="1" applyAlignment="1" applyProtection="1">
      <alignment vertical="center"/>
      <protection hidden="1"/>
    </xf>
    <xf numFmtId="0" fontId="4" fillId="0" borderId="0" xfId="0" applyFont="1" applyAlignment="1" applyProtection="1">
      <alignment vertical="center"/>
      <protection hidden="1"/>
    </xf>
    <xf numFmtId="0" fontId="1" fillId="0" borderId="0" xfId="0" applyFont="1" applyProtection="1">
      <protection hidden="1"/>
    </xf>
    <xf numFmtId="0" fontId="12" fillId="0" borderId="0" xfId="0" applyFont="1" applyProtection="1">
      <protection hidden="1"/>
    </xf>
    <xf numFmtId="0" fontId="13" fillId="0" borderId="0" xfId="0" applyFont="1" applyAlignment="1" applyProtection="1">
      <alignment horizontal="left" vertical="center" wrapText="1"/>
      <protection hidden="1"/>
    </xf>
    <xf numFmtId="0" fontId="12" fillId="0" borderId="0" xfId="0" applyFont="1" applyAlignment="1" applyProtection="1">
      <alignment horizontal="left" vertical="center" wrapText="1"/>
      <protection hidden="1"/>
    </xf>
    <xf numFmtId="0" fontId="0" fillId="0" borderId="0" xfId="0" applyAlignment="1" applyProtection="1">
      <alignment vertical="center"/>
      <protection hidden="1"/>
    </xf>
    <xf numFmtId="0" fontId="3" fillId="0" borderId="0" xfId="0" applyFont="1" applyProtection="1">
      <protection hidden="1"/>
    </xf>
    <xf numFmtId="0" fontId="0" fillId="0" borderId="0" xfId="0" applyAlignment="1" applyProtection="1">
      <alignment horizontal="left"/>
      <protection hidden="1"/>
    </xf>
    <xf numFmtId="0" fontId="1" fillId="0" borderId="0" xfId="0" applyFont="1" applyAlignment="1" applyProtection="1">
      <alignment horizontal="left"/>
      <protection hidden="1"/>
    </xf>
    <xf numFmtId="0" fontId="13" fillId="0" borderId="0" xfId="0" applyFont="1" applyProtection="1">
      <protection hidden="1"/>
    </xf>
    <xf numFmtId="0" fontId="15" fillId="0" borderId="0" xfId="0" applyFont="1" applyProtection="1">
      <protection hidden="1"/>
    </xf>
    <xf numFmtId="0" fontId="30" fillId="0" borderId="0" xfId="0" applyFont="1" applyAlignment="1" applyProtection="1">
      <alignment vertical="center"/>
      <protection hidden="1"/>
    </xf>
    <xf numFmtId="0" fontId="18" fillId="0" borderId="0" xfId="0" applyFont="1" applyAlignment="1" applyProtection="1">
      <alignment vertical="center"/>
      <protection hidden="1"/>
    </xf>
    <xf numFmtId="0" fontId="11" fillId="0" borderId="0" xfId="0" applyFont="1" applyAlignment="1" applyProtection="1">
      <alignment vertical="center"/>
      <protection hidden="1"/>
    </xf>
    <xf numFmtId="0" fontId="1" fillId="11" borderId="7" xfId="0" applyFont="1" applyFill="1" applyBorder="1" applyAlignment="1" applyProtection="1">
      <alignment vertical="center" wrapText="1"/>
      <protection locked="0"/>
    </xf>
    <xf numFmtId="0" fontId="15" fillId="11" borderId="7" xfId="0" applyFont="1" applyFill="1" applyBorder="1" applyAlignment="1" applyProtection="1">
      <alignment horizontal="left" vertical="top"/>
      <protection locked="0"/>
    </xf>
    <xf numFmtId="0" fontId="0" fillId="11" borderId="7" xfId="0" applyFill="1" applyBorder="1" applyProtection="1">
      <protection locked="0"/>
    </xf>
    <xf numFmtId="0" fontId="0" fillId="11" borderId="7" xfId="0" applyFill="1" applyBorder="1" applyAlignment="1" applyProtection="1">
      <alignment horizontal="left" vertical="top"/>
      <protection locked="0"/>
    </xf>
    <xf numFmtId="0" fontId="20" fillId="11" borderId="7" xfId="0" applyFont="1" applyFill="1" applyBorder="1" applyAlignment="1" applyProtection="1">
      <alignment vertical="center" wrapText="1"/>
      <protection locked="0"/>
    </xf>
    <xf numFmtId="0" fontId="0" fillId="11" borderId="4" xfId="0" applyFill="1" applyBorder="1" applyAlignment="1" applyProtection="1">
      <alignment horizontal="left" vertical="top"/>
      <protection locked="0"/>
    </xf>
    <xf numFmtId="0" fontId="0" fillId="11" borderId="1" xfId="0" applyFill="1" applyBorder="1" applyAlignment="1" applyProtection="1">
      <alignment horizontal="left" vertical="top"/>
      <protection locked="0"/>
    </xf>
    <xf numFmtId="0" fontId="0" fillId="13" borderId="0" xfId="0" applyFill="1" applyProtection="1">
      <protection hidden="1"/>
    </xf>
    <xf numFmtId="0" fontId="13" fillId="13" borderId="0" xfId="0" applyFont="1" applyFill="1" applyProtection="1">
      <protection hidden="1"/>
    </xf>
    <xf numFmtId="0" fontId="21" fillId="0" borderId="0" xfId="0" applyFont="1" applyAlignment="1" applyProtection="1">
      <alignment horizontal="left" vertical="center"/>
      <protection hidden="1"/>
    </xf>
    <xf numFmtId="0" fontId="33" fillId="0" borderId="0" xfId="0" applyFont="1" applyAlignment="1" applyProtection="1">
      <alignment textRotation="90"/>
      <protection hidden="1"/>
    </xf>
    <xf numFmtId="0" fontId="33" fillId="0" borderId="0" xfId="0" applyFont="1" applyAlignment="1" applyProtection="1">
      <alignment textRotation="90" wrapText="1"/>
      <protection hidden="1"/>
    </xf>
    <xf numFmtId="0" fontId="31" fillId="12" borderId="7" xfId="0" applyFont="1" applyFill="1" applyBorder="1" applyAlignment="1" applyProtection="1">
      <alignment horizontal="center" vertical="center"/>
      <protection hidden="1"/>
    </xf>
    <xf numFmtId="0" fontId="31" fillId="10" borderId="7" xfId="0" applyFont="1" applyFill="1" applyBorder="1" applyAlignment="1" applyProtection="1">
      <alignment horizontal="center" vertical="center"/>
      <protection hidden="1"/>
    </xf>
    <xf numFmtId="0" fontId="32" fillId="10" borderId="7" xfId="0" applyFont="1" applyFill="1" applyBorder="1" applyAlignment="1" applyProtection="1">
      <alignment horizontal="center" vertical="center"/>
      <protection hidden="1"/>
    </xf>
    <xf numFmtId="0" fontId="32" fillId="5" borderId="7" xfId="0" applyFont="1" applyFill="1" applyBorder="1" applyAlignment="1" applyProtection="1">
      <alignment horizontal="center" vertical="center"/>
      <protection hidden="1"/>
    </xf>
    <xf numFmtId="0" fontId="31" fillId="5" borderId="7" xfId="0" applyFont="1" applyFill="1" applyBorder="1" applyAlignment="1" applyProtection="1">
      <alignment horizontal="center" vertical="center"/>
      <protection hidden="1"/>
    </xf>
    <xf numFmtId="0" fontId="4" fillId="7" borderId="21" xfId="0" applyFont="1" applyFill="1" applyBorder="1" applyAlignment="1" applyProtection="1">
      <alignment horizontal="left" vertical="top" wrapText="1"/>
      <protection hidden="1"/>
    </xf>
    <xf numFmtId="0" fontId="4" fillId="7" borderId="19" xfId="0" applyFont="1" applyFill="1" applyBorder="1" applyAlignment="1" applyProtection="1">
      <alignment horizontal="left" vertical="top" wrapText="1"/>
      <protection hidden="1"/>
    </xf>
    <xf numFmtId="0" fontId="4" fillId="7" borderId="7" xfId="0" applyFont="1" applyFill="1" applyBorder="1" applyAlignment="1" applyProtection="1">
      <alignment horizontal="left" vertical="top" wrapText="1"/>
      <protection hidden="1"/>
    </xf>
    <xf numFmtId="0" fontId="4" fillId="9" borderId="21" xfId="0" applyFont="1" applyFill="1" applyBorder="1" applyAlignment="1" applyProtection="1">
      <alignment horizontal="left" vertical="top" wrapText="1"/>
      <protection hidden="1"/>
    </xf>
    <xf numFmtId="0" fontId="4" fillId="9" borderId="19" xfId="0" applyFont="1" applyFill="1" applyBorder="1" applyAlignment="1" applyProtection="1">
      <alignment horizontal="left" vertical="top" wrapText="1"/>
      <protection hidden="1"/>
    </xf>
    <xf numFmtId="164" fontId="0" fillId="0" borderId="0" xfId="0" applyNumberFormat="1" applyAlignment="1" applyProtection="1">
      <alignment horizontal="left"/>
      <protection hidden="1"/>
    </xf>
    <xf numFmtId="0" fontId="1" fillId="0" borderId="7" xfId="0" applyFont="1" applyBorder="1" applyAlignment="1" applyProtection="1">
      <alignment vertical="center" wrapText="1"/>
      <protection hidden="1"/>
    </xf>
    <xf numFmtId="0" fontId="0" fillId="0" borderId="0" xfId="0" applyAlignment="1" applyProtection="1">
      <alignment vertical="top"/>
      <protection hidden="1"/>
    </xf>
    <xf numFmtId="0" fontId="34" fillId="0" borderId="0" xfId="0" applyFont="1" applyAlignment="1" applyProtection="1">
      <alignment horizontal="left" vertical="center"/>
      <protection hidden="1"/>
    </xf>
    <xf numFmtId="0" fontId="35" fillId="0" borderId="0" xfId="0" applyFont="1" applyProtection="1">
      <protection hidden="1"/>
    </xf>
    <xf numFmtId="0" fontId="18" fillId="0" borderId="0" xfId="0" applyFont="1" applyProtection="1">
      <protection hidden="1"/>
    </xf>
    <xf numFmtId="0" fontId="0" fillId="8" borderId="10" xfId="0" applyFill="1" applyBorder="1" applyProtection="1">
      <protection hidden="1"/>
    </xf>
    <xf numFmtId="0" fontId="0" fillId="8" borderId="11" xfId="0" applyFill="1" applyBorder="1" applyProtection="1">
      <protection hidden="1"/>
    </xf>
    <xf numFmtId="0" fontId="15" fillId="8" borderId="22" xfId="0" applyFont="1" applyFill="1" applyBorder="1" applyProtection="1">
      <protection hidden="1"/>
    </xf>
    <xf numFmtId="0" fontId="0" fillId="8" borderId="0" xfId="0" applyFill="1" applyProtection="1">
      <protection hidden="1"/>
    </xf>
    <xf numFmtId="0" fontId="0" fillId="8" borderId="23" xfId="0" applyFill="1" applyBorder="1" applyProtection="1">
      <protection hidden="1"/>
    </xf>
    <xf numFmtId="0" fontId="0" fillId="8" borderId="13" xfId="0" applyFill="1" applyBorder="1" applyProtection="1">
      <protection hidden="1"/>
    </xf>
    <xf numFmtId="0" fontId="0" fillId="8" borderId="14" xfId="0" applyFill="1" applyBorder="1" applyProtection="1">
      <protection hidden="1"/>
    </xf>
    <xf numFmtId="0" fontId="6" fillId="8" borderId="9" xfId="0" applyFont="1" applyFill="1" applyBorder="1" applyProtection="1">
      <protection hidden="1"/>
    </xf>
    <xf numFmtId="0" fontId="15" fillId="8" borderId="12" xfId="0" applyFont="1" applyFill="1" applyBorder="1" applyProtection="1">
      <protection hidden="1"/>
    </xf>
    <xf numFmtId="0" fontId="16" fillId="12" borderId="15" xfId="1" applyFill="1" applyBorder="1" applyAlignment="1" applyProtection="1">
      <alignment horizontal="left" vertical="center" wrapText="1"/>
      <protection hidden="1"/>
    </xf>
    <xf numFmtId="0" fontId="16" fillId="12" borderId="16" xfId="1" applyFill="1" applyBorder="1" applyAlignment="1" applyProtection="1">
      <alignment horizontal="left" vertical="center" wrapText="1"/>
      <protection hidden="1"/>
    </xf>
    <xf numFmtId="0" fontId="0" fillId="0" borderId="0" xfId="0" applyAlignment="1">
      <alignment vertical="center"/>
    </xf>
    <xf numFmtId="0" fontId="16" fillId="6" borderId="20" xfId="1" applyFill="1" applyBorder="1" applyAlignment="1" applyProtection="1">
      <alignment horizontal="left" vertical="top" wrapText="1"/>
      <protection hidden="1"/>
    </xf>
    <xf numFmtId="0" fontId="16" fillId="6" borderId="20" xfId="1" applyFill="1" applyBorder="1" applyAlignment="1" applyProtection="1">
      <alignment horizontal="left" vertical="top" wrapText="1"/>
      <protection locked="0"/>
    </xf>
    <xf numFmtId="0" fontId="2" fillId="4" borderId="9" xfId="0" applyFont="1" applyFill="1" applyBorder="1" applyAlignment="1" applyProtection="1">
      <alignment horizontal="left" vertical="top"/>
      <protection hidden="1"/>
    </xf>
    <xf numFmtId="0" fontId="0" fillId="4" borderId="10" xfId="0" applyFill="1" applyBorder="1" applyAlignment="1" applyProtection="1">
      <alignment horizontal="left" vertical="top" wrapText="1"/>
      <protection hidden="1"/>
    </xf>
    <xf numFmtId="0" fontId="29" fillId="4" borderId="22" xfId="0" applyFont="1" applyFill="1" applyBorder="1" applyAlignment="1" applyProtection="1">
      <alignment horizontal="left" vertical="center"/>
      <protection hidden="1"/>
    </xf>
    <xf numFmtId="0" fontId="0" fillId="4" borderId="0" xfId="0" applyFill="1" applyAlignment="1" applyProtection="1">
      <alignment horizontal="left" vertical="top" wrapText="1"/>
      <protection hidden="1"/>
    </xf>
    <xf numFmtId="0" fontId="15" fillId="4" borderId="0" xfId="0" applyFont="1" applyFill="1" applyAlignment="1" applyProtection="1">
      <alignment horizontal="center"/>
      <protection hidden="1"/>
    </xf>
    <xf numFmtId="0" fontId="0" fillId="0" borderId="0" xfId="0" quotePrefix="1" applyProtection="1">
      <protection hidden="1"/>
    </xf>
    <xf numFmtId="0" fontId="4" fillId="0" borderId="0" xfId="0" applyFont="1" applyAlignment="1" applyProtection="1">
      <alignment horizontal="left" vertical="top" wrapText="1"/>
      <protection hidden="1"/>
    </xf>
    <xf numFmtId="0" fontId="15" fillId="0" borderId="0" xfId="0" applyFont="1" applyAlignment="1" applyProtection="1">
      <alignment horizontal="left" vertical="top" wrapText="1"/>
      <protection hidden="1"/>
    </xf>
    <xf numFmtId="0" fontId="15" fillId="0" borderId="0" xfId="0" applyFont="1" applyAlignment="1" applyProtection="1">
      <alignment wrapText="1"/>
      <protection hidden="1"/>
    </xf>
    <xf numFmtId="0" fontId="0" fillId="0" borderId="0" xfId="0" applyAlignment="1" applyProtection="1">
      <alignment wrapText="1"/>
      <protection hidden="1"/>
    </xf>
    <xf numFmtId="0" fontId="23" fillId="0" borderId="0" xfId="0" applyFont="1" applyAlignment="1" applyProtection="1">
      <alignment horizontal="left" vertical="top" wrapText="1"/>
      <protection hidden="1"/>
    </xf>
    <xf numFmtId="0" fontId="2" fillId="7" borderId="7" xfId="0" applyFont="1" applyFill="1" applyBorder="1" applyAlignment="1" applyProtection="1">
      <alignment horizontal="left" vertical="top" wrapText="1"/>
      <protection hidden="1"/>
    </xf>
    <xf numFmtId="0" fontId="14" fillId="4" borderId="7" xfId="0" applyFont="1" applyFill="1" applyBorder="1" applyAlignment="1" applyProtection="1">
      <alignment horizontal="left" vertical="top" wrapText="1"/>
      <protection hidden="1"/>
    </xf>
    <xf numFmtId="0" fontId="14" fillId="0" borderId="0" xfId="0" applyFont="1" applyAlignment="1" applyProtection="1">
      <alignment horizontal="left" vertical="top"/>
      <protection hidden="1"/>
    </xf>
    <xf numFmtId="0" fontId="14" fillId="0" borderId="0" xfId="0" quotePrefix="1" applyFont="1" applyAlignment="1" applyProtection="1">
      <alignment horizontal="left" vertical="top"/>
      <protection hidden="1"/>
    </xf>
    <xf numFmtId="0" fontId="1" fillId="7" borderId="7" xfId="0" applyFont="1" applyFill="1" applyBorder="1" applyAlignment="1" applyProtection="1">
      <alignment horizontal="left" vertical="top" wrapText="1"/>
      <protection hidden="1"/>
    </xf>
    <xf numFmtId="0" fontId="16" fillId="7" borderId="7" xfId="1" applyFill="1" applyBorder="1" applyAlignment="1" applyProtection="1">
      <alignment horizontal="left" vertical="top" wrapText="1"/>
      <protection hidden="1"/>
    </xf>
    <xf numFmtId="0" fontId="0" fillId="4" borderId="7" xfId="0" quotePrefix="1" applyFill="1" applyBorder="1" applyAlignment="1" applyProtection="1">
      <alignment horizontal="left" vertical="top" wrapText="1"/>
      <protection hidden="1"/>
    </xf>
    <xf numFmtId="0" fontId="15" fillId="4" borderId="7" xfId="0" applyFont="1" applyFill="1" applyBorder="1" applyAlignment="1" applyProtection="1">
      <alignment horizontal="left" vertical="top" wrapText="1"/>
      <protection hidden="1"/>
    </xf>
    <xf numFmtId="0" fontId="15" fillId="0" borderId="0" xfId="0" applyFont="1" applyAlignment="1" applyProtection="1">
      <alignment horizontal="left" vertical="center"/>
      <protection hidden="1"/>
    </xf>
    <xf numFmtId="0" fontId="0" fillId="0" borderId="0" xfId="0" applyAlignment="1" applyProtection="1">
      <alignment horizontal="left" vertical="top" wrapText="1"/>
      <protection hidden="1"/>
    </xf>
    <xf numFmtId="0" fontId="1" fillId="3" borderId="7" xfId="0" applyFont="1" applyFill="1" applyBorder="1" applyAlignment="1" applyProtection="1">
      <alignment horizontal="left" vertical="top" wrapText="1"/>
      <protection locked="0"/>
    </xf>
    <xf numFmtId="0" fontId="15" fillId="3" borderId="7" xfId="0" applyFont="1" applyFill="1" applyBorder="1" applyAlignment="1" applyProtection="1">
      <alignment horizontal="left" vertical="top" wrapText="1"/>
      <protection locked="0"/>
    </xf>
    <xf numFmtId="0" fontId="15" fillId="0" borderId="0" xfId="0" quotePrefix="1" applyFont="1" applyProtection="1">
      <protection hidden="1"/>
    </xf>
    <xf numFmtId="0" fontId="0" fillId="0" borderId="0" xfId="0" applyAlignment="1" applyProtection="1">
      <alignment horizontal="left" wrapText="1"/>
      <protection hidden="1"/>
    </xf>
    <xf numFmtId="0" fontId="30" fillId="0" borderId="0" xfId="0" applyFont="1" applyAlignment="1" applyProtection="1">
      <alignment horizontal="left" vertical="center" indent="1"/>
      <protection hidden="1"/>
    </xf>
    <xf numFmtId="0" fontId="30" fillId="0" borderId="0" xfId="0" applyFont="1" applyAlignment="1" applyProtection="1">
      <alignment horizontal="left" vertical="center" wrapText="1" indent="1"/>
      <protection hidden="1"/>
    </xf>
    <xf numFmtId="0" fontId="30" fillId="0" borderId="0" xfId="0" quotePrefix="1" applyFont="1" applyAlignment="1" applyProtection="1">
      <alignment horizontal="left" vertical="center"/>
      <protection hidden="1"/>
    </xf>
    <xf numFmtId="0" fontId="29" fillId="11" borderId="19" xfId="0" applyFont="1" applyFill="1" applyBorder="1" applyAlignment="1" applyProtection="1">
      <alignment horizontal="left" vertical="center"/>
      <protection hidden="1"/>
    </xf>
    <xf numFmtId="0" fontId="14" fillId="11" borderId="21" xfId="0" applyFont="1" applyFill="1" applyBorder="1" applyAlignment="1" applyProtection="1">
      <alignment vertical="center"/>
      <protection hidden="1"/>
    </xf>
    <xf numFmtId="0" fontId="6" fillId="11" borderId="19" xfId="0" applyFont="1" applyFill="1" applyBorder="1" applyAlignment="1" applyProtection="1">
      <alignment horizontal="left" vertical="center" wrapText="1" indent="1"/>
      <protection hidden="1"/>
    </xf>
    <xf numFmtId="0" fontId="15" fillId="3" borderId="19" xfId="0" applyFont="1" applyFill="1" applyBorder="1" applyAlignment="1" applyProtection="1">
      <alignment horizontal="left" vertical="top" wrapText="1"/>
      <protection locked="0"/>
    </xf>
    <xf numFmtId="0" fontId="2" fillId="8" borderId="7" xfId="0" applyFont="1" applyFill="1" applyBorder="1" applyAlignment="1" applyProtection="1">
      <alignment horizontal="left" vertical="center" wrapText="1"/>
      <protection hidden="1"/>
    </xf>
    <xf numFmtId="0" fontId="29" fillId="0" borderId="0" xfId="0" applyFont="1" applyAlignment="1" applyProtection="1">
      <alignment horizontal="left" vertical="center"/>
      <protection hidden="1"/>
    </xf>
    <xf numFmtId="0" fontId="2" fillId="8" borderId="7" xfId="0" applyFont="1" applyFill="1" applyBorder="1" applyAlignment="1" applyProtection="1">
      <alignment horizontal="left" vertical="center"/>
      <protection hidden="1"/>
    </xf>
    <xf numFmtId="0" fontId="30" fillId="0" borderId="0" xfId="0" quotePrefix="1" applyFont="1" applyAlignment="1" applyProtection="1">
      <alignment horizontal="left" vertical="center" wrapText="1" indent="1"/>
      <protection hidden="1"/>
    </xf>
    <xf numFmtId="0" fontId="2" fillId="0" borderId="0" xfId="0" applyFont="1" applyAlignment="1" applyProtection="1">
      <alignment horizontal="left" vertical="center" wrapText="1"/>
      <protection hidden="1"/>
    </xf>
    <xf numFmtId="164" fontId="18" fillId="3" borderId="9" xfId="0" applyNumberFormat="1" applyFont="1" applyFill="1" applyBorder="1" applyAlignment="1" applyProtection="1">
      <alignment horizontal="left" vertical="center"/>
      <protection locked="0"/>
    </xf>
    <xf numFmtId="164" fontId="18" fillId="3" borderId="12" xfId="0" applyNumberFormat="1" applyFont="1" applyFill="1" applyBorder="1" applyAlignment="1" applyProtection="1">
      <alignment horizontal="left" vertical="center"/>
      <protection locked="0"/>
    </xf>
    <xf numFmtId="0" fontId="2" fillId="11" borderId="9" xfId="0" applyFont="1" applyFill="1" applyBorder="1" applyAlignment="1" applyProtection="1">
      <alignment vertical="center"/>
      <protection hidden="1"/>
    </xf>
    <xf numFmtId="0" fontId="2" fillId="11" borderId="12" xfId="0" applyFont="1" applyFill="1" applyBorder="1" applyAlignment="1" applyProtection="1">
      <alignment vertical="center"/>
      <protection hidden="1"/>
    </xf>
    <xf numFmtId="0" fontId="30" fillId="11" borderId="12" xfId="0" applyFont="1" applyFill="1" applyBorder="1" applyAlignment="1" applyProtection="1">
      <alignment vertical="center"/>
      <protection hidden="1"/>
    </xf>
    <xf numFmtId="0" fontId="2" fillId="8" borderId="7" xfId="0" applyFont="1" applyFill="1" applyBorder="1" applyAlignment="1" applyProtection="1">
      <alignment vertical="center"/>
      <protection hidden="1"/>
    </xf>
    <xf numFmtId="0" fontId="2" fillId="8" borderId="19" xfId="0" applyFont="1" applyFill="1" applyBorder="1" applyAlignment="1" applyProtection="1">
      <alignment vertical="center"/>
      <protection hidden="1"/>
    </xf>
    <xf numFmtId="0" fontId="30" fillId="0" borderId="9" xfId="0" quotePrefix="1" applyFont="1" applyBorder="1" applyAlignment="1" applyProtection="1">
      <alignment horizontal="left" vertical="center" indent="1"/>
      <protection hidden="1"/>
    </xf>
    <xf numFmtId="0" fontId="30" fillId="0" borderId="12" xfId="0" quotePrefix="1" applyFont="1" applyBorder="1" applyAlignment="1" applyProtection="1">
      <alignment horizontal="left" vertical="center" indent="1"/>
      <protection hidden="1"/>
    </xf>
    <xf numFmtId="0" fontId="2" fillId="8" borderId="8" xfId="0" applyFont="1" applyFill="1" applyBorder="1" applyAlignment="1" applyProtection="1">
      <alignment vertical="center"/>
      <protection hidden="1"/>
    </xf>
    <xf numFmtId="0" fontId="0" fillId="8" borderId="17" xfId="0" applyFill="1" applyBorder="1" applyProtection="1">
      <protection hidden="1"/>
    </xf>
    <xf numFmtId="0" fontId="0" fillId="8" borderId="18" xfId="0" applyFill="1" applyBorder="1" applyProtection="1">
      <protection hidden="1"/>
    </xf>
    <xf numFmtId="0" fontId="2" fillId="8" borderId="8" xfId="0" applyFont="1" applyFill="1" applyBorder="1" applyAlignment="1" applyProtection="1">
      <alignment horizontal="left" vertical="center"/>
      <protection hidden="1"/>
    </xf>
    <xf numFmtId="0" fontId="2" fillId="8" borderId="9" xfId="0" applyFont="1" applyFill="1" applyBorder="1" applyAlignment="1" applyProtection="1">
      <alignment vertical="center"/>
      <protection hidden="1"/>
    </xf>
    <xf numFmtId="0" fontId="30" fillId="8" borderId="12" xfId="0" applyFont="1" applyFill="1" applyBorder="1" applyAlignment="1" applyProtection="1">
      <alignment vertical="center"/>
      <protection hidden="1"/>
    </xf>
    <xf numFmtId="0" fontId="30" fillId="0" borderId="8" xfId="0" quotePrefix="1" applyFont="1" applyBorder="1" applyAlignment="1" applyProtection="1">
      <alignment horizontal="left" vertical="center" indent="1"/>
      <protection hidden="1"/>
    </xf>
    <xf numFmtId="0" fontId="30" fillId="0" borderId="17" xfId="0" quotePrefix="1" applyFont="1" applyBorder="1" applyAlignment="1" applyProtection="1">
      <alignment horizontal="left" vertical="center" indent="1"/>
      <protection hidden="1"/>
    </xf>
    <xf numFmtId="0" fontId="0" fillId="0" borderId="18" xfId="0" applyBorder="1" applyAlignment="1" applyProtection="1">
      <alignment horizontal="left" indent="1"/>
      <protection hidden="1"/>
    </xf>
    <xf numFmtId="0" fontId="30" fillId="0" borderId="10" xfId="0" quotePrefix="1" applyFont="1" applyBorder="1" applyAlignment="1" applyProtection="1">
      <alignment horizontal="left" vertical="center" indent="1"/>
      <protection hidden="1"/>
    </xf>
    <xf numFmtId="0" fontId="0" fillId="0" borderId="11" xfId="0" applyBorder="1" applyAlignment="1" applyProtection="1">
      <alignment horizontal="left" indent="1"/>
      <protection hidden="1"/>
    </xf>
    <xf numFmtId="0" fontId="30" fillId="0" borderId="13" xfId="0" quotePrefix="1" applyFont="1" applyBorder="1" applyAlignment="1" applyProtection="1">
      <alignment horizontal="left" vertical="center" indent="1"/>
      <protection hidden="1"/>
    </xf>
    <xf numFmtId="0" fontId="0" fillId="0" borderId="14" xfId="0" applyBorder="1" applyAlignment="1" applyProtection="1">
      <alignment horizontal="left" indent="1"/>
      <protection hidden="1"/>
    </xf>
    <xf numFmtId="0" fontId="1" fillId="3" borderId="10" xfId="0" applyFont="1" applyFill="1" applyBorder="1" applyAlignment="1" applyProtection="1">
      <alignment vertical="center"/>
      <protection locked="0"/>
    </xf>
    <xf numFmtId="0" fontId="0" fillId="3" borderId="10" xfId="0" applyFill="1" applyBorder="1" applyAlignment="1" applyProtection="1">
      <alignment vertical="center"/>
      <protection locked="0"/>
    </xf>
    <xf numFmtId="0" fontId="0" fillId="3" borderId="11" xfId="0" applyFill="1" applyBorder="1" applyAlignment="1" applyProtection="1">
      <alignment vertical="center"/>
      <protection locked="0"/>
    </xf>
    <xf numFmtId="0" fontId="0" fillId="3" borderId="13" xfId="0" applyFill="1" applyBorder="1" applyAlignment="1" applyProtection="1">
      <alignment vertical="center"/>
      <protection locked="0"/>
    </xf>
    <xf numFmtId="0" fontId="0" fillId="3" borderId="14" xfId="0" applyFill="1" applyBorder="1" applyAlignment="1" applyProtection="1">
      <alignment vertical="center"/>
      <protection locked="0"/>
    </xf>
    <xf numFmtId="0" fontId="2" fillId="0" borderId="7" xfId="0" applyFont="1" applyBorder="1" applyAlignment="1" applyProtection="1">
      <alignment horizontal="left" vertical="top"/>
      <protection hidden="1"/>
    </xf>
    <xf numFmtId="0" fontId="1" fillId="4" borderId="10" xfId="0" applyFont="1" applyFill="1" applyBorder="1" applyAlignment="1" applyProtection="1">
      <alignment vertical="top"/>
      <protection hidden="1"/>
    </xf>
    <xf numFmtId="0" fontId="1" fillId="4" borderId="10" xfId="0" applyFont="1" applyFill="1" applyBorder="1" applyProtection="1">
      <protection hidden="1"/>
    </xf>
    <xf numFmtId="0" fontId="1" fillId="4" borderId="0" xfId="0" applyFont="1" applyFill="1" applyAlignment="1" applyProtection="1">
      <alignment horizontal="center" vertical="top" wrapText="1"/>
      <protection hidden="1"/>
    </xf>
    <xf numFmtId="0" fontId="1" fillId="4" borderId="0" xfId="0" applyFont="1" applyFill="1" applyAlignment="1" applyProtection="1">
      <alignment horizontal="center"/>
      <protection hidden="1"/>
    </xf>
    <xf numFmtId="0" fontId="1" fillId="0" borderId="0" xfId="0" applyFont="1" applyAlignment="1" applyProtection="1">
      <alignment vertical="top"/>
      <protection hidden="1"/>
    </xf>
    <xf numFmtId="0" fontId="2" fillId="4" borderId="7" xfId="0" applyFont="1" applyFill="1" applyBorder="1" applyAlignment="1" applyProtection="1">
      <alignment horizontal="left" vertical="top" wrapText="1"/>
      <protection hidden="1"/>
    </xf>
    <xf numFmtId="0" fontId="11" fillId="4" borderId="7" xfId="0" applyFont="1" applyFill="1" applyBorder="1" applyAlignment="1" applyProtection="1">
      <alignment vertical="top" wrapText="1"/>
      <protection hidden="1"/>
    </xf>
    <xf numFmtId="0" fontId="1" fillId="0" borderId="7" xfId="0" quotePrefix="1" applyFont="1" applyBorder="1" applyAlignment="1" applyProtection="1">
      <alignment vertical="top"/>
      <protection hidden="1"/>
    </xf>
    <xf numFmtId="0" fontId="1" fillId="0" borderId="7" xfId="0" applyFont="1" applyBorder="1" applyAlignment="1" applyProtection="1">
      <alignment horizontal="left" vertical="top"/>
      <protection hidden="1"/>
    </xf>
    <xf numFmtId="0" fontId="1" fillId="0" borderId="7" xfId="0" quotePrefix="1" applyFont="1" applyBorder="1" applyAlignment="1" applyProtection="1">
      <alignment horizontal="left" vertical="top"/>
      <protection hidden="1"/>
    </xf>
    <xf numFmtId="0" fontId="1" fillId="0" borderId="7" xfId="0" applyFont="1" applyBorder="1" applyAlignment="1" applyProtection="1">
      <alignment vertical="top"/>
      <protection hidden="1"/>
    </xf>
    <xf numFmtId="0" fontId="1" fillId="7" borderId="18" xfId="0" applyFont="1" applyFill="1" applyBorder="1" applyAlignment="1" applyProtection="1">
      <alignment horizontal="left" vertical="top" wrapText="1"/>
      <protection hidden="1"/>
    </xf>
    <xf numFmtId="0" fontId="15" fillId="4" borderId="7" xfId="0" quotePrefix="1" applyFont="1" applyFill="1" applyBorder="1" applyAlignment="1" applyProtection="1">
      <alignment horizontal="left" vertical="top" wrapText="1"/>
      <protection hidden="1"/>
    </xf>
    <xf numFmtId="0" fontId="3" fillId="0" borderId="0" xfId="0" applyFont="1" applyAlignment="1" applyProtection="1">
      <alignment vertical="center"/>
      <protection hidden="1"/>
    </xf>
    <xf numFmtId="0" fontId="4" fillId="9" borderId="36" xfId="0" applyFont="1" applyFill="1" applyBorder="1" applyAlignment="1" applyProtection="1">
      <alignment horizontal="left" vertical="top" wrapText="1"/>
      <protection hidden="1"/>
    </xf>
    <xf numFmtId="0" fontId="1" fillId="14" borderId="7" xfId="0" applyFont="1" applyFill="1" applyBorder="1" applyAlignment="1" applyProtection="1">
      <alignment horizontal="left" vertical="top" wrapText="1"/>
      <protection hidden="1"/>
    </xf>
    <xf numFmtId="0" fontId="14" fillId="4" borderId="12" xfId="0" applyFont="1" applyFill="1" applyBorder="1" applyAlignment="1" applyProtection="1">
      <alignment horizontal="left" vertical="top"/>
      <protection hidden="1"/>
    </xf>
    <xf numFmtId="0" fontId="14" fillId="4" borderId="13" xfId="0" applyFont="1" applyFill="1" applyBorder="1" applyAlignment="1" applyProtection="1">
      <alignment horizontal="left" vertical="top"/>
      <protection hidden="1"/>
    </xf>
    <xf numFmtId="0" fontId="15" fillId="0" borderId="0" xfId="0" applyFont="1" applyAlignment="1" applyProtection="1">
      <alignment vertical="top"/>
      <protection hidden="1"/>
    </xf>
    <xf numFmtId="0" fontId="0" fillId="4" borderId="11" xfId="0" applyFill="1" applyBorder="1" applyAlignment="1" applyProtection="1">
      <alignment wrapText="1"/>
      <protection hidden="1"/>
    </xf>
    <xf numFmtId="0" fontId="0" fillId="4" borderId="23" xfId="0" applyFill="1" applyBorder="1" applyAlignment="1" applyProtection="1">
      <alignment wrapText="1"/>
      <protection hidden="1"/>
    </xf>
    <xf numFmtId="0" fontId="0" fillId="4" borderId="14" xfId="0" applyFill="1" applyBorder="1" applyProtection="1">
      <protection hidden="1"/>
    </xf>
    <xf numFmtId="0" fontId="38" fillId="0" borderId="0" xfId="0" applyFont="1" applyAlignment="1" applyProtection="1">
      <alignment vertical="center"/>
      <protection hidden="1"/>
    </xf>
    <xf numFmtId="0" fontId="0" fillId="0" borderId="0" xfId="0" applyAlignment="1" applyProtection="1">
      <alignment horizontal="left" vertical="center"/>
      <protection hidden="1"/>
    </xf>
    <xf numFmtId="0" fontId="1" fillId="15" borderId="7" xfId="0" applyFont="1" applyFill="1" applyBorder="1" applyAlignment="1" applyProtection="1">
      <alignment vertical="center" wrapText="1"/>
      <protection locked="0"/>
    </xf>
    <xf numFmtId="0" fontId="15" fillId="15" borderId="7" xfId="0" applyFont="1" applyFill="1" applyBorder="1" applyAlignment="1" applyProtection="1">
      <alignment horizontal="left" vertical="top"/>
      <protection locked="0"/>
    </xf>
    <xf numFmtId="0" fontId="0" fillId="15" borderId="7" xfId="0" applyFill="1" applyBorder="1" applyProtection="1">
      <protection locked="0"/>
    </xf>
    <xf numFmtId="0" fontId="0" fillId="15" borderId="7" xfId="0" applyFill="1" applyBorder="1" applyAlignment="1" applyProtection="1">
      <alignment horizontal="left" vertical="top"/>
      <protection locked="0"/>
    </xf>
    <xf numFmtId="0" fontId="20" fillId="15" borderId="7" xfId="0" applyFont="1" applyFill="1" applyBorder="1" applyAlignment="1" applyProtection="1">
      <alignment vertical="center" wrapText="1"/>
      <protection locked="0"/>
    </xf>
    <xf numFmtId="0" fontId="0" fillId="15" borderId="4" xfId="0" applyFill="1" applyBorder="1" applyAlignment="1" applyProtection="1">
      <alignment horizontal="left" vertical="top"/>
      <protection locked="0"/>
    </xf>
    <xf numFmtId="0" fontId="0" fillId="15" borderId="1" xfId="0" applyFill="1" applyBorder="1" applyAlignment="1" applyProtection="1">
      <alignment horizontal="left" vertical="top"/>
      <protection locked="0"/>
    </xf>
    <xf numFmtId="0" fontId="0" fillId="15" borderId="35" xfId="0" applyFill="1" applyBorder="1" applyAlignment="1" applyProtection="1">
      <alignment horizontal="left" vertical="top"/>
      <protection locked="0"/>
    </xf>
    <xf numFmtId="0" fontId="1" fillId="4" borderId="10" xfId="0" applyFont="1" applyFill="1" applyBorder="1" applyAlignment="1" applyProtection="1">
      <alignment horizontal="left" vertical="top"/>
      <protection hidden="1"/>
    </xf>
    <xf numFmtId="0" fontId="1" fillId="4" borderId="0" xfId="0" applyFont="1" applyFill="1" applyAlignment="1" applyProtection="1">
      <alignment horizontal="left" vertical="top"/>
      <protection hidden="1"/>
    </xf>
    <xf numFmtId="0" fontId="1" fillId="0" borderId="0" xfId="0" applyFont="1" applyAlignment="1" applyProtection="1">
      <alignment horizontal="left" vertical="top"/>
      <protection hidden="1"/>
    </xf>
    <xf numFmtId="0" fontId="23" fillId="0" borderId="7" xfId="0" quotePrefix="1" applyFont="1" applyBorder="1" applyAlignment="1" applyProtection="1">
      <alignment horizontal="left" vertical="top"/>
      <protection hidden="1"/>
    </xf>
    <xf numFmtId="0" fontId="23" fillId="0" borderId="7" xfId="0" applyFont="1" applyBorder="1" applyAlignment="1" applyProtection="1">
      <alignment horizontal="left" vertical="top"/>
      <protection hidden="1"/>
    </xf>
    <xf numFmtId="0" fontId="2" fillId="0" borderId="0" xfId="0" applyFont="1" applyAlignment="1" applyProtection="1">
      <alignment vertical="center"/>
      <protection hidden="1"/>
    </xf>
    <xf numFmtId="0" fontId="3" fillId="0" borderId="0" xfId="0" applyFont="1" applyAlignment="1" applyProtection="1">
      <alignment horizontal="left" vertical="center"/>
      <protection hidden="1"/>
    </xf>
    <xf numFmtId="0" fontId="2" fillId="18" borderId="44" xfId="0" applyFont="1" applyFill="1" applyBorder="1" applyAlignment="1" applyProtection="1">
      <alignment vertical="center"/>
      <protection hidden="1"/>
    </xf>
    <xf numFmtId="0" fontId="0" fillId="18" borderId="45" xfId="0" applyFill="1" applyBorder="1" applyAlignment="1" applyProtection="1">
      <alignment vertical="center"/>
      <protection hidden="1"/>
    </xf>
    <xf numFmtId="0" fontId="44" fillId="18" borderId="40" xfId="0" applyFont="1" applyFill="1" applyBorder="1" applyAlignment="1" applyProtection="1">
      <alignment horizontal="left" vertical="center"/>
      <protection hidden="1"/>
    </xf>
    <xf numFmtId="0" fontId="3" fillId="18" borderId="0" xfId="0" applyFont="1" applyFill="1" applyAlignment="1" applyProtection="1">
      <alignment vertical="center"/>
      <protection hidden="1"/>
    </xf>
    <xf numFmtId="0" fontId="2" fillId="18" borderId="42" xfId="0" applyFont="1" applyFill="1" applyBorder="1" applyAlignment="1" applyProtection="1">
      <alignment vertical="center"/>
      <protection hidden="1"/>
    </xf>
    <xf numFmtId="0" fontId="0" fillId="18" borderId="39" xfId="0" applyFill="1" applyBorder="1" applyAlignment="1" applyProtection="1">
      <alignment horizontal="left" vertical="center"/>
      <protection hidden="1"/>
    </xf>
    <xf numFmtId="0" fontId="3" fillId="18" borderId="39" xfId="0" applyFont="1" applyFill="1" applyBorder="1" applyAlignment="1" applyProtection="1">
      <alignment vertical="center"/>
      <protection hidden="1"/>
    </xf>
    <xf numFmtId="0" fontId="2" fillId="17" borderId="21" xfId="0" applyFont="1" applyFill="1" applyBorder="1" applyAlignment="1" applyProtection="1">
      <alignment horizontal="left" vertical="top" wrapText="1"/>
      <protection hidden="1"/>
    </xf>
    <xf numFmtId="0" fontId="14" fillId="18" borderId="7" xfId="0" applyFont="1" applyFill="1" applyBorder="1" applyAlignment="1" applyProtection="1">
      <alignment horizontal="left" vertical="top" wrapText="1"/>
      <protection hidden="1"/>
    </xf>
    <xf numFmtId="0" fontId="4" fillId="17" borderId="21" xfId="0" applyFont="1" applyFill="1" applyBorder="1" applyAlignment="1" applyProtection="1">
      <alignment horizontal="left" vertical="top" wrapText="1"/>
      <protection hidden="1"/>
    </xf>
    <xf numFmtId="0" fontId="4" fillId="19" borderId="21" xfId="0" applyFont="1" applyFill="1" applyBorder="1" applyAlignment="1" applyProtection="1">
      <alignment vertical="top" wrapText="1"/>
      <protection hidden="1"/>
    </xf>
    <xf numFmtId="0" fontId="1" fillId="19" borderId="7" xfId="0" applyFont="1" applyFill="1" applyBorder="1" applyAlignment="1" applyProtection="1">
      <alignment vertical="top" wrapText="1"/>
      <protection hidden="1"/>
    </xf>
    <xf numFmtId="0" fontId="4" fillId="19" borderId="7" xfId="0" applyFont="1" applyFill="1" applyBorder="1" applyAlignment="1" applyProtection="1">
      <alignment vertical="top" wrapText="1"/>
      <protection hidden="1"/>
    </xf>
    <xf numFmtId="0" fontId="15" fillId="18" borderId="8" xfId="0" quotePrefix="1" applyFont="1" applyFill="1" applyBorder="1" applyAlignment="1" applyProtection="1">
      <alignment horizontal="left" vertical="top" wrapText="1"/>
      <protection hidden="1"/>
    </xf>
    <xf numFmtId="0" fontId="2" fillId="0" borderId="21" xfId="0" applyFont="1" applyBorder="1" applyAlignment="1" applyProtection="1">
      <alignment horizontal="left" vertical="top" wrapText="1"/>
      <protection hidden="1"/>
    </xf>
    <xf numFmtId="0" fontId="4" fillId="0" borderId="7" xfId="0" applyFont="1" applyBorder="1" applyAlignment="1" applyProtection="1">
      <alignment vertical="top" wrapText="1"/>
      <protection hidden="1"/>
    </xf>
    <xf numFmtId="0" fontId="40" fillId="0" borderId="7" xfId="0" applyFont="1" applyBorder="1" applyAlignment="1" applyProtection="1">
      <alignment vertical="top" wrapText="1"/>
      <protection hidden="1"/>
    </xf>
    <xf numFmtId="0" fontId="23" fillId="0" borderId="18" xfId="0" quotePrefix="1" applyFont="1" applyBorder="1" applyAlignment="1" applyProtection="1">
      <alignment horizontal="left" vertical="top"/>
      <protection hidden="1"/>
    </xf>
    <xf numFmtId="0" fontId="23" fillId="0" borderId="11" xfId="0" quotePrefix="1" applyFont="1" applyBorder="1" applyAlignment="1" applyProtection="1">
      <alignment horizontal="left" vertical="top"/>
      <protection hidden="1"/>
    </xf>
    <xf numFmtId="0" fontId="1" fillId="0" borderId="21" xfId="0" applyFont="1" applyBorder="1" applyAlignment="1" applyProtection="1">
      <alignment vertical="top"/>
      <protection hidden="1"/>
    </xf>
    <xf numFmtId="0" fontId="4" fillId="7" borderId="9" xfId="0" applyFont="1" applyFill="1" applyBorder="1" applyAlignment="1" applyProtection="1">
      <alignment horizontal="left" vertical="top" wrapText="1"/>
      <protection hidden="1"/>
    </xf>
    <xf numFmtId="0" fontId="4" fillId="7" borderId="12" xfId="0" applyFont="1" applyFill="1" applyBorder="1" applyAlignment="1" applyProtection="1">
      <alignment horizontal="left" vertical="top" wrapText="1"/>
      <protection hidden="1"/>
    </xf>
    <xf numFmtId="0" fontId="4" fillId="7" borderId="22" xfId="0" applyFont="1" applyFill="1" applyBorder="1" applyAlignment="1" applyProtection="1">
      <alignment horizontal="left" vertical="top" wrapText="1"/>
      <protection hidden="1"/>
    </xf>
    <xf numFmtId="0" fontId="4" fillId="7" borderId="12" xfId="0" applyFont="1" applyFill="1" applyBorder="1" applyAlignment="1">
      <alignment horizontal="left" vertical="top" wrapText="1"/>
    </xf>
    <xf numFmtId="0" fontId="4" fillId="7" borderId="22" xfId="0" applyFont="1" applyFill="1" applyBorder="1" applyAlignment="1">
      <alignment horizontal="left" vertical="top" wrapText="1"/>
    </xf>
    <xf numFmtId="0" fontId="4" fillId="17" borderId="7" xfId="0" applyFont="1" applyFill="1" applyBorder="1" applyAlignment="1" applyProtection="1">
      <alignment horizontal="left" vertical="top" wrapText="1"/>
      <protection hidden="1"/>
    </xf>
    <xf numFmtId="0" fontId="15" fillId="3" borderId="7" xfId="0" quotePrefix="1" applyFont="1" applyFill="1" applyBorder="1" applyAlignment="1" applyProtection="1">
      <alignment horizontal="left" vertical="top" wrapText="1"/>
      <protection locked="0"/>
    </xf>
    <xf numFmtId="0" fontId="0" fillId="0" borderId="9" xfId="0" applyBorder="1" applyProtection="1">
      <protection hidden="1"/>
    </xf>
    <xf numFmtId="0" fontId="0" fillId="0" borderId="10" xfId="0" applyBorder="1" applyProtection="1">
      <protection hidden="1"/>
    </xf>
    <xf numFmtId="0" fontId="0" fillId="0" borderId="11" xfId="0" applyBorder="1" applyProtection="1">
      <protection hidden="1"/>
    </xf>
    <xf numFmtId="0" fontId="29" fillId="0" borderId="0" xfId="0" applyFont="1" applyAlignment="1" applyProtection="1">
      <alignment vertical="center"/>
      <protection hidden="1"/>
    </xf>
    <xf numFmtId="0" fontId="2" fillId="0" borderId="7" xfId="0" applyFont="1" applyBorder="1" applyAlignment="1" applyProtection="1">
      <alignment horizontal="left" vertical="center" wrapText="1"/>
      <protection hidden="1"/>
    </xf>
    <xf numFmtId="164" fontId="0" fillId="0" borderId="0" xfId="0" applyNumberFormat="1" applyAlignment="1" applyProtection="1">
      <alignment horizontal="left" vertical="center"/>
      <protection hidden="1"/>
    </xf>
    <xf numFmtId="0" fontId="1" fillId="0" borderId="0" xfId="0" applyFont="1" applyAlignment="1" applyProtection="1">
      <alignment vertical="center"/>
      <protection hidden="1"/>
    </xf>
    <xf numFmtId="164" fontId="18" fillId="0" borderId="0" xfId="0" applyNumberFormat="1" applyFont="1" applyAlignment="1" applyProtection="1">
      <alignment horizontal="left" vertical="center"/>
      <protection hidden="1"/>
    </xf>
    <xf numFmtId="0" fontId="15" fillId="0" borderId="0" xfId="0" applyFont="1" applyAlignment="1" applyProtection="1">
      <alignment vertical="center"/>
      <protection hidden="1"/>
    </xf>
    <xf numFmtId="0" fontId="14" fillId="0" borderId="7" xfId="0" applyFont="1" applyBorder="1" applyAlignment="1" applyProtection="1">
      <alignment vertical="center"/>
      <protection hidden="1"/>
    </xf>
    <xf numFmtId="0" fontId="14" fillId="0" borderId="7" xfId="0" applyFont="1" applyBorder="1" applyAlignment="1" applyProtection="1">
      <alignment horizontal="left" vertical="center"/>
      <protection hidden="1"/>
    </xf>
    <xf numFmtId="0" fontId="1" fillId="0" borderId="0" xfId="0" applyFont="1" applyAlignment="1" applyProtection="1">
      <alignment horizontal="left" vertical="top" wrapText="1"/>
      <protection hidden="1"/>
    </xf>
    <xf numFmtId="0" fontId="16" fillId="0" borderId="0" xfId="1" applyAlignment="1" applyProtection="1">
      <alignment horizontal="left" vertical="top" wrapText="1"/>
      <protection hidden="1"/>
    </xf>
    <xf numFmtId="0" fontId="23" fillId="0" borderId="0" xfId="0" applyFont="1" applyAlignment="1" applyProtection="1">
      <alignment horizontal="left" vertical="top"/>
      <protection hidden="1"/>
    </xf>
    <xf numFmtId="0" fontId="0" fillId="0" borderId="0" xfId="0" quotePrefix="1" applyAlignment="1" applyProtection="1">
      <alignment horizontal="left" vertical="top" wrapText="1"/>
      <protection hidden="1"/>
    </xf>
    <xf numFmtId="0" fontId="31" fillId="0" borderId="0" xfId="0" applyFont="1" applyAlignment="1" applyProtection="1">
      <alignment horizontal="center" vertical="center"/>
      <protection hidden="1"/>
    </xf>
    <xf numFmtId="0" fontId="32" fillId="0" borderId="0" xfId="0" applyFont="1" applyAlignment="1" applyProtection="1">
      <alignment horizontal="center" vertical="center"/>
      <protection hidden="1"/>
    </xf>
    <xf numFmtId="0" fontId="33" fillId="0" borderId="0" xfId="0" applyFont="1" applyAlignment="1" applyProtection="1">
      <alignment horizontal="right" vertical="center"/>
      <protection hidden="1"/>
    </xf>
    <xf numFmtId="0" fontId="31" fillId="12" borderId="7" xfId="0" applyFont="1" applyFill="1" applyBorder="1" applyAlignment="1">
      <alignment horizontal="center" vertical="center" wrapText="1"/>
    </xf>
    <xf numFmtId="0" fontId="31" fillId="10" borderId="7" xfId="0" applyFont="1" applyFill="1" applyBorder="1" applyAlignment="1">
      <alignment horizontal="center" vertical="center" wrapText="1"/>
    </xf>
    <xf numFmtId="0" fontId="31" fillId="5" borderId="7" xfId="0" applyFont="1" applyFill="1" applyBorder="1" applyAlignment="1">
      <alignment horizontal="center" vertical="center" wrapText="1"/>
    </xf>
    <xf numFmtId="0" fontId="0" fillId="0" borderId="0" xfId="0" applyAlignment="1" applyProtection="1">
      <alignment horizontal="left" vertical="top"/>
      <protection hidden="1"/>
    </xf>
    <xf numFmtId="0" fontId="14" fillId="0" borderId="0" xfId="0" applyFont="1" applyAlignment="1" applyProtection="1">
      <alignment vertical="center"/>
      <protection hidden="1"/>
    </xf>
    <xf numFmtId="0" fontId="4" fillId="20" borderId="21" xfId="0" applyFont="1" applyFill="1" applyBorder="1" applyAlignment="1" applyProtection="1">
      <alignment horizontal="left" vertical="top" wrapText="1"/>
      <protection hidden="1"/>
    </xf>
    <xf numFmtId="0" fontId="4" fillId="20" borderId="19" xfId="0" applyFont="1" applyFill="1" applyBorder="1" applyAlignment="1" applyProtection="1">
      <alignment horizontal="left" vertical="top" wrapText="1"/>
      <protection hidden="1"/>
    </xf>
    <xf numFmtId="0" fontId="4" fillId="20" borderId="21" xfId="0" applyFont="1" applyFill="1" applyBorder="1" applyAlignment="1">
      <alignment horizontal="left" vertical="top" wrapText="1"/>
    </xf>
    <xf numFmtId="0" fontId="4" fillId="20" borderId="19" xfId="0" applyFont="1" applyFill="1" applyBorder="1" applyAlignment="1">
      <alignment horizontal="left" vertical="top" wrapText="1"/>
    </xf>
    <xf numFmtId="0" fontId="6" fillId="0" borderId="0" xfId="0" applyFont="1" applyProtection="1">
      <protection hidden="1"/>
    </xf>
    <xf numFmtId="0" fontId="4" fillId="20" borderId="9" xfId="0" applyFont="1" applyFill="1" applyBorder="1" applyAlignment="1" applyProtection="1">
      <alignment horizontal="left" vertical="top" wrapText="1"/>
      <protection hidden="1"/>
    </xf>
    <xf numFmtId="0" fontId="4" fillId="20" borderId="12" xfId="0" applyFont="1" applyFill="1" applyBorder="1" applyAlignment="1" applyProtection="1">
      <alignment horizontal="left" vertical="top" wrapText="1"/>
      <protection hidden="1"/>
    </xf>
    <xf numFmtId="0" fontId="4" fillId="20" borderId="9" xfId="0" applyFont="1" applyFill="1" applyBorder="1" applyAlignment="1">
      <alignment horizontal="left" vertical="top" wrapText="1"/>
    </xf>
    <xf numFmtId="0" fontId="4" fillId="20" borderId="12" xfId="0" applyFont="1" applyFill="1" applyBorder="1" applyAlignment="1">
      <alignment horizontal="left" vertical="top" wrapText="1"/>
    </xf>
    <xf numFmtId="0" fontId="16" fillId="11" borderId="18" xfId="1" applyFill="1" applyBorder="1" applyAlignment="1" applyProtection="1">
      <alignment horizontal="center" vertical="center"/>
      <protection locked="0"/>
    </xf>
    <xf numFmtId="0" fontId="10" fillId="0" borderId="0" xfId="0" applyFont="1"/>
    <xf numFmtId="0" fontId="28" fillId="0" borderId="0" xfId="1" applyFont="1" applyAlignment="1">
      <alignment horizontal="left"/>
    </xf>
    <xf numFmtId="0" fontId="3" fillId="0" borderId="0" xfId="0" applyFont="1"/>
    <xf numFmtId="0" fontId="22" fillId="3" borderId="0" xfId="0" applyFont="1" applyFill="1" applyAlignment="1">
      <alignment vertical="center"/>
    </xf>
    <xf numFmtId="0" fontId="0" fillId="3" borderId="0" xfId="0" applyFill="1" applyAlignment="1">
      <alignment vertical="center"/>
    </xf>
    <xf numFmtId="0" fontId="4" fillId="3" borderId="0" xfId="0" applyFont="1" applyFill="1" applyAlignment="1">
      <alignment vertical="center"/>
    </xf>
    <xf numFmtId="0" fontId="47" fillId="0" borderId="0" xfId="0" applyFont="1"/>
    <xf numFmtId="0" fontId="1" fillId="11" borderId="17" xfId="0" applyFont="1" applyFill="1" applyBorder="1" applyAlignment="1" applyProtection="1">
      <alignment vertical="center"/>
      <protection hidden="1"/>
    </xf>
    <xf numFmtId="0" fontId="0" fillId="11" borderId="17" xfId="0" applyFill="1" applyBorder="1" applyAlignment="1" applyProtection="1">
      <alignment vertical="center"/>
      <protection hidden="1"/>
    </xf>
    <xf numFmtId="0" fontId="0" fillId="11" borderId="18" xfId="0" applyFill="1" applyBorder="1" applyAlignment="1" applyProtection="1">
      <alignment vertical="center"/>
      <protection hidden="1"/>
    </xf>
    <xf numFmtId="164" fontId="18" fillId="11" borderId="8" xfId="0" applyNumberFormat="1" applyFont="1" applyFill="1" applyBorder="1" applyAlignment="1" applyProtection="1">
      <alignment horizontal="left" vertical="center"/>
      <protection locked="0"/>
    </xf>
    <xf numFmtId="0" fontId="13" fillId="13" borderId="0" xfId="0" applyFont="1" applyFill="1" applyAlignment="1" applyProtection="1">
      <alignment wrapText="1"/>
      <protection hidden="1"/>
    </xf>
    <xf numFmtId="0" fontId="13" fillId="13" borderId="0" xfId="0" applyFont="1" applyFill="1" applyAlignment="1" applyProtection="1">
      <alignment vertical="top" wrapText="1"/>
      <protection hidden="1"/>
    </xf>
    <xf numFmtId="0" fontId="9" fillId="3" borderId="0" xfId="0" applyFont="1" applyFill="1" applyAlignment="1">
      <alignment horizontal="left"/>
    </xf>
    <xf numFmtId="0" fontId="0" fillId="3" borderId="0" xfId="0" applyFill="1"/>
    <xf numFmtId="0" fontId="10" fillId="3" borderId="0" xfId="0" applyFont="1" applyFill="1" applyAlignment="1">
      <alignment horizontal="left" vertical="top" indent="1"/>
    </xf>
    <xf numFmtId="0" fontId="2" fillId="22" borderId="9" xfId="0" applyFont="1" applyFill="1" applyBorder="1" applyAlignment="1" applyProtection="1">
      <alignment horizontal="left" vertical="top"/>
      <protection hidden="1"/>
    </xf>
    <xf numFmtId="0" fontId="0" fillId="22" borderId="10" xfId="0" applyFill="1" applyBorder="1" applyAlignment="1" applyProtection="1">
      <alignment horizontal="left" vertical="top" wrapText="1"/>
      <protection hidden="1"/>
    </xf>
    <xf numFmtId="0" fontId="1" fillId="22" borderId="10" xfId="0" applyFont="1" applyFill="1" applyBorder="1" applyAlignment="1" applyProtection="1">
      <alignment vertical="top"/>
      <protection hidden="1"/>
    </xf>
    <xf numFmtId="0" fontId="1" fillId="22" borderId="10" xfId="0" applyFont="1" applyFill="1" applyBorder="1" applyProtection="1">
      <protection hidden="1"/>
    </xf>
    <xf numFmtId="0" fontId="1" fillId="22" borderId="10" xfId="0" applyFont="1" applyFill="1" applyBorder="1" applyAlignment="1" applyProtection="1">
      <alignment horizontal="left" vertical="top"/>
      <protection hidden="1"/>
    </xf>
    <xf numFmtId="0" fontId="0" fillId="22" borderId="11" xfId="0" applyFill="1" applyBorder="1" applyAlignment="1" applyProtection="1">
      <alignment horizontal="left" vertical="top" wrapText="1"/>
      <protection hidden="1"/>
    </xf>
    <xf numFmtId="0" fontId="29" fillId="22" borderId="22" xfId="0" applyFont="1" applyFill="1" applyBorder="1" applyAlignment="1" applyProtection="1">
      <alignment horizontal="left" vertical="center"/>
      <protection hidden="1"/>
    </xf>
    <xf numFmtId="0" fontId="0" fillId="22" borderId="0" xfId="0" applyFill="1" applyAlignment="1" applyProtection="1">
      <alignment horizontal="left" vertical="top" wrapText="1"/>
      <protection hidden="1"/>
    </xf>
    <xf numFmtId="0" fontId="1" fillId="22" borderId="0" xfId="0" applyFont="1" applyFill="1" applyAlignment="1" applyProtection="1">
      <alignment horizontal="center" vertical="top" wrapText="1"/>
      <protection hidden="1"/>
    </xf>
    <xf numFmtId="0" fontId="1" fillId="22" borderId="0" xfId="0" applyFont="1" applyFill="1" applyAlignment="1" applyProtection="1">
      <alignment horizontal="center"/>
      <protection hidden="1"/>
    </xf>
    <xf numFmtId="0" fontId="1" fillId="22" borderId="0" xfId="0" applyFont="1" applyFill="1" applyAlignment="1" applyProtection="1">
      <alignment horizontal="left" vertical="top"/>
      <protection hidden="1"/>
    </xf>
    <xf numFmtId="0" fontId="15" fillId="22" borderId="0" xfId="0" applyFont="1" applyFill="1" applyAlignment="1" applyProtection="1">
      <alignment horizontal="center"/>
      <protection hidden="1"/>
    </xf>
    <xf numFmtId="0" fontId="0" fillId="22" borderId="23" xfId="0" applyFill="1" applyBorder="1" applyAlignment="1" applyProtection="1">
      <alignment horizontal="left" vertical="top" wrapText="1"/>
      <protection hidden="1"/>
    </xf>
    <xf numFmtId="0" fontId="14" fillId="22" borderId="13" xfId="0" applyFont="1" applyFill="1" applyBorder="1" applyAlignment="1" applyProtection="1">
      <alignment horizontal="left" vertical="top"/>
      <protection hidden="1"/>
    </xf>
    <xf numFmtId="0" fontId="0" fillId="22" borderId="14" xfId="0" applyFill="1" applyBorder="1" applyAlignment="1" applyProtection="1">
      <alignment horizontal="left" vertical="top"/>
      <protection hidden="1"/>
    </xf>
    <xf numFmtId="0" fontId="2" fillId="23" borderId="7" xfId="0" applyFont="1" applyFill="1" applyBorder="1" applyAlignment="1" applyProtection="1">
      <alignment horizontal="left" vertical="top" wrapText="1"/>
      <protection hidden="1"/>
    </xf>
    <xf numFmtId="0" fontId="2" fillId="22" borderId="7" xfId="0" applyFont="1" applyFill="1" applyBorder="1" applyAlignment="1" applyProtection="1">
      <alignment horizontal="left" vertical="top" wrapText="1"/>
      <protection hidden="1"/>
    </xf>
    <xf numFmtId="0" fontId="2" fillId="22" borderId="7" xfId="0" applyFont="1" applyFill="1" applyBorder="1" applyAlignment="1" applyProtection="1">
      <alignment horizontal="left" vertical="top"/>
      <protection hidden="1"/>
    </xf>
    <xf numFmtId="0" fontId="14" fillId="22" borderId="7" xfId="0" applyFont="1" applyFill="1" applyBorder="1" applyAlignment="1" applyProtection="1">
      <alignment horizontal="left" vertical="top" wrapText="1"/>
      <protection hidden="1"/>
    </xf>
    <xf numFmtId="0" fontId="4" fillId="23" borderId="7" xfId="0" applyFont="1" applyFill="1" applyBorder="1" applyAlignment="1" applyProtection="1">
      <alignment horizontal="left" vertical="top" wrapText="1"/>
      <protection hidden="1"/>
    </xf>
    <xf numFmtId="0" fontId="1" fillId="23" borderId="7" xfId="0" applyFont="1" applyFill="1" applyBorder="1" applyAlignment="1" applyProtection="1">
      <alignment horizontal="left" vertical="top" wrapText="1"/>
      <protection hidden="1"/>
    </xf>
    <xf numFmtId="0" fontId="16" fillId="23" borderId="7" xfId="1" applyFill="1" applyBorder="1" applyAlignment="1" applyProtection="1">
      <alignment horizontal="left" vertical="top" wrapText="1"/>
      <protection hidden="1"/>
    </xf>
    <xf numFmtId="0" fontId="15" fillId="22" borderId="7" xfId="0" applyFont="1" applyFill="1" applyBorder="1" applyAlignment="1" applyProtection="1">
      <alignment horizontal="left" vertical="top" wrapText="1"/>
      <protection hidden="1"/>
    </xf>
    <xf numFmtId="0" fontId="4" fillId="23" borderId="21" xfId="0" applyFont="1" applyFill="1" applyBorder="1" applyAlignment="1" applyProtection="1">
      <alignment horizontal="left" vertical="top" wrapText="1"/>
      <protection hidden="1"/>
    </xf>
    <xf numFmtId="0" fontId="0" fillId="22" borderId="7" xfId="0" quotePrefix="1" applyFill="1" applyBorder="1" applyAlignment="1" applyProtection="1">
      <alignment horizontal="left" vertical="top" wrapText="1"/>
      <protection hidden="1"/>
    </xf>
    <xf numFmtId="0" fontId="1" fillId="23" borderId="18" xfId="0" applyFont="1" applyFill="1" applyBorder="1" applyAlignment="1" applyProtection="1">
      <alignment horizontal="left" vertical="top" wrapText="1"/>
      <protection hidden="1"/>
    </xf>
    <xf numFmtId="0" fontId="1" fillId="23" borderId="0" xfId="0" applyFont="1" applyFill="1" applyAlignment="1" applyProtection="1">
      <alignment horizontal="left" vertical="top" wrapText="1"/>
      <protection hidden="1"/>
    </xf>
    <xf numFmtId="0" fontId="4" fillId="24" borderId="7" xfId="0" applyFont="1" applyFill="1" applyBorder="1" applyAlignment="1" applyProtection="1">
      <alignment vertical="top" wrapText="1"/>
      <protection hidden="1"/>
    </xf>
    <xf numFmtId="0" fontId="1" fillId="24" borderId="7" xfId="0" applyFont="1" applyFill="1" applyBorder="1" applyAlignment="1" applyProtection="1">
      <alignment vertical="top" wrapText="1"/>
      <protection hidden="1"/>
    </xf>
    <xf numFmtId="0" fontId="8" fillId="0" borderId="0" xfId="0" applyFont="1" applyAlignment="1" applyProtection="1">
      <alignment vertical="top"/>
      <protection hidden="1"/>
    </xf>
    <xf numFmtId="0" fontId="48" fillId="0" borderId="0" xfId="0" applyFont="1" applyAlignment="1" applyProtection="1">
      <alignment vertical="top"/>
      <protection hidden="1"/>
    </xf>
    <xf numFmtId="0" fontId="49" fillId="0" borderId="0" xfId="0" applyFont="1" applyProtection="1">
      <protection hidden="1"/>
    </xf>
    <xf numFmtId="0" fontId="48" fillId="0" borderId="0" xfId="0" applyFont="1" applyAlignment="1" applyProtection="1">
      <alignment vertical="center"/>
      <protection hidden="1"/>
    </xf>
    <xf numFmtId="0" fontId="52" fillId="0" borderId="0" xfId="0" applyFont="1" applyAlignment="1" applyProtection="1">
      <alignment vertical="center"/>
      <protection hidden="1"/>
    </xf>
    <xf numFmtId="0" fontId="50" fillId="0" borderId="0" xfId="0" applyFont="1" applyAlignment="1" applyProtection="1">
      <alignment vertical="center"/>
      <protection hidden="1"/>
    </xf>
    <xf numFmtId="0" fontId="53" fillId="0" borderId="0" xfId="0" applyFont="1" applyAlignment="1" applyProtection="1">
      <alignment vertical="center"/>
      <protection hidden="1"/>
    </xf>
    <xf numFmtId="0" fontId="54" fillId="0" borderId="0" xfId="0" applyFont="1" applyProtection="1">
      <protection hidden="1"/>
    </xf>
    <xf numFmtId="0" fontId="25" fillId="3" borderId="9" xfId="0" applyFont="1" applyFill="1" applyBorder="1" applyAlignment="1" applyProtection="1">
      <alignment horizontal="left" vertical="top" wrapText="1"/>
      <protection hidden="1"/>
    </xf>
    <xf numFmtId="0" fontId="24" fillId="3" borderId="11" xfId="0" applyFont="1" applyFill="1" applyBorder="1" applyAlignment="1" applyProtection="1">
      <alignment horizontal="left" vertical="top" wrapText="1"/>
      <protection hidden="1"/>
    </xf>
    <xf numFmtId="0" fontId="25" fillId="3" borderId="12" xfId="0" applyFont="1" applyFill="1" applyBorder="1" applyAlignment="1" applyProtection="1">
      <alignment horizontal="left" vertical="top" wrapText="1"/>
      <protection hidden="1"/>
    </xf>
    <xf numFmtId="0" fontId="24" fillId="3" borderId="14" xfId="0" applyFont="1" applyFill="1" applyBorder="1" applyAlignment="1" applyProtection="1">
      <alignment horizontal="left" vertical="top" wrapText="1"/>
      <protection hidden="1"/>
    </xf>
    <xf numFmtId="0" fontId="25" fillId="3" borderId="12" xfId="0" applyFont="1" applyFill="1" applyBorder="1" applyAlignment="1" applyProtection="1">
      <alignment horizontal="left" vertical="top"/>
      <protection hidden="1"/>
    </xf>
    <xf numFmtId="0" fontId="25" fillId="3" borderId="8" xfId="0" applyFont="1" applyFill="1" applyBorder="1" applyAlignment="1" applyProtection="1">
      <alignment horizontal="left" vertical="top" wrapText="1"/>
      <protection hidden="1"/>
    </xf>
    <xf numFmtId="0" fontId="24" fillId="3" borderId="18" xfId="0" applyFont="1" applyFill="1" applyBorder="1" applyAlignment="1" applyProtection="1">
      <alignment horizontal="left" vertical="top" wrapText="1"/>
      <protection hidden="1"/>
    </xf>
    <xf numFmtId="0" fontId="25" fillId="3" borderId="22" xfId="0" applyFont="1" applyFill="1" applyBorder="1" applyAlignment="1" applyProtection="1">
      <alignment horizontal="left" vertical="top" wrapText="1"/>
      <protection hidden="1"/>
    </xf>
    <xf numFmtId="0" fontId="24" fillId="3" borderId="23" xfId="0" applyFont="1" applyFill="1" applyBorder="1" applyAlignment="1" applyProtection="1">
      <alignment horizontal="left" vertical="top" wrapText="1"/>
      <protection hidden="1"/>
    </xf>
    <xf numFmtId="0" fontId="41" fillId="3" borderId="14" xfId="0" applyFont="1" applyFill="1" applyBorder="1" applyAlignment="1" applyProtection="1">
      <alignment horizontal="left" vertical="top" wrapText="1"/>
      <protection hidden="1"/>
    </xf>
    <xf numFmtId="0" fontId="41" fillId="3" borderId="18" xfId="0" applyFont="1" applyFill="1" applyBorder="1" applyAlignment="1" applyProtection="1">
      <alignment horizontal="left" vertical="top" wrapText="1"/>
      <protection hidden="1"/>
    </xf>
    <xf numFmtId="0" fontId="25" fillId="3" borderId="22" xfId="0" applyFont="1" applyFill="1" applyBorder="1" applyAlignment="1" applyProtection="1">
      <alignment horizontal="left" vertical="top"/>
      <protection hidden="1"/>
    </xf>
    <xf numFmtId="0" fontId="0" fillId="3" borderId="22" xfId="0" applyFill="1" applyBorder="1" applyProtection="1">
      <protection hidden="1"/>
    </xf>
    <xf numFmtId="0" fontId="0" fillId="3" borderId="12" xfId="0" applyFill="1" applyBorder="1" applyProtection="1">
      <protection hidden="1"/>
    </xf>
    <xf numFmtId="0" fontId="13" fillId="3" borderId="14" xfId="0" applyFont="1" applyFill="1" applyBorder="1" applyProtection="1">
      <protection hidden="1"/>
    </xf>
    <xf numFmtId="0" fontId="9" fillId="13" borderId="0" xfId="0" applyFont="1" applyFill="1" applyProtection="1">
      <protection hidden="1"/>
    </xf>
    <xf numFmtId="0" fontId="42" fillId="13" borderId="0" xfId="0" applyFont="1" applyFill="1" applyAlignment="1" applyProtection="1">
      <alignment horizontal="left" vertical="top" indent="1"/>
      <protection hidden="1"/>
    </xf>
    <xf numFmtId="0" fontId="13" fillId="13" borderId="0" xfId="0" applyFont="1" applyFill="1" applyAlignment="1" applyProtection="1">
      <alignment horizontal="left" vertical="center" wrapText="1" indent="1"/>
      <protection hidden="1"/>
    </xf>
    <xf numFmtId="0" fontId="5" fillId="13" borderId="0" xfId="0" applyFont="1" applyFill="1" applyProtection="1">
      <protection hidden="1"/>
    </xf>
    <xf numFmtId="0" fontId="24" fillId="13" borderId="0" xfId="0" applyFont="1" applyFill="1" applyAlignment="1" applyProtection="1">
      <alignment horizontal="left" vertical="top" wrapText="1"/>
      <protection hidden="1"/>
    </xf>
    <xf numFmtId="0" fontId="16" fillId="13" borderId="0" xfId="1" applyFill="1" applyAlignment="1" applyProtection="1">
      <alignment horizontal="left" vertical="center" wrapText="1"/>
      <protection hidden="1"/>
    </xf>
    <xf numFmtId="0" fontId="25" fillId="13" borderId="0" xfId="0" applyFont="1" applyFill="1" applyAlignment="1" applyProtection="1">
      <alignment horizontal="left" vertical="top" wrapText="1"/>
      <protection hidden="1"/>
    </xf>
    <xf numFmtId="0" fontId="25" fillId="13" borderId="0" xfId="0" applyFont="1" applyFill="1" applyAlignment="1" applyProtection="1">
      <alignment horizontal="left" vertical="top"/>
      <protection hidden="1"/>
    </xf>
    <xf numFmtId="0" fontId="37" fillId="13" borderId="0" xfId="0" applyFont="1" applyFill="1" applyAlignment="1" applyProtection="1">
      <alignment horizontal="left" vertical="top" wrapText="1"/>
      <protection hidden="1"/>
    </xf>
    <xf numFmtId="0" fontId="16" fillId="13" borderId="0" xfId="1" applyFill="1" applyAlignment="1" applyProtection="1">
      <alignment horizontal="left" vertical="top" wrapText="1"/>
      <protection hidden="1"/>
    </xf>
    <xf numFmtId="0" fontId="55" fillId="0" borderId="0" xfId="0" applyFont="1" applyProtection="1">
      <protection hidden="1"/>
    </xf>
    <xf numFmtId="0" fontId="2" fillId="0" borderId="0" xfId="0" quotePrefix="1" applyFont="1" applyAlignment="1" applyProtection="1">
      <alignment vertical="center"/>
      <protection hidden="1"/>
    </xf>
    <xf numFmtId="0" fontId="30" fillId="0" borderId="0" xfId="0" quotePrefix="1" applyFont="1" applyAlignment="1" applyProtection="1">
      <alignment vertical="center"/>
      <protection hidden="1"/>
    </xf>
    <xf numFmtId="0" fontId="15" fillId="3" borderId="7" xfId="0" applyFont="1" applyFill="1" applyBorder="1" applyAlignment="1" applyProtection="1">
      <alignment vertical="top" wrapText="1"/>
      <protection hidden="1"/>
    </xf>
    <xf numFmtId="0" fontId="36" fillId="3" borderId="7" xfId="0" applyFont="1" applyFill="1" applyBorder="1" applyAlignment="1" applyProtection="1">
      <alignment vertical="top" wrapText="1"/>
      <protection locked="0"/>
    </xf>
    <xf numFmtId="0" fontId="11" fillId="3" borderId="4" xfId="0" applyFont="1" applyFill="1" applyBorder="1" applyAlignment="1" applyProtection="1">
      <alignment vertical="top"/>
      <protection locked="0"/>
    </xf>
    <xf numFmtId="0" fontId="11" fillId="3" borderId="4" xfId="0" applyFont="1" applyFill="1" applyBorder="1" applyAlignment="1" applyProtection="1">
      <alignment vertical="top" wrapText="1"/>
      <protection locked="0"/>
    </xf>
    <xf numFmtId="0" fontId="11" fillId="3" borderId="7" xfId="0" applyFont="1" applyFill="1" applyBorder="1" applyAlignment="1" applyProtection="1">
      <alignment vertical="top" wrapText="1"/>
      <protection locked="0"/>
    </xf>
    <xf numFmtId="0" fontId="0" fillId="18" borderId="45" xfId="0" applyFill="1" applyBorder="1" applyProtection="1">
      <protection hidden="1"/>
    </xf>
    <xf numFmtId="0" fontId="0" fillId="18" borderId="45" xfId="0" applyFill="1" applyBorder="1" applyAlignment="1" applyProtection="1">
      <alignment horizontal="left" vertical="top"/>
      <protection hidden="1"/>
    </xf>
    <xf numFmtId="0" fontId="3" fillId="18" borderId="45" xfId="0" applyFont="1" applyFill="1" applyBorder="1" applyProtection="1">
      <protection hidden="1"/>
    </xf>
    <xf numFmtId="0" fontId="0" fillId="18" borderId="0" xfId="0" applyFill="1" applyProtection="1">
      <protection hidden="1"/>
    </xf>
    <xf numFmtId="0" fontId="0" fillId="18" borderId="0" xfId="0" applyFill="1" applyAlignment="1" applyProtection="1">
      <alignment horizontal="left" vertical="top"/>
      <protection hidden="1"/>
    </xf>
    <xf numFmtId="0" fontId="0" fillId="18" borderId="39" xfId="0" applyFill="1" applyBorder="1" applyProtection="1">
      <protection hidden="1"/>
    </xf>
    <xf numFmtId="0" fontId="0" fillId="18" borderId="39" xfId="0" applyFill="1" applyBorder="1" applyAlignment="1" applyProtection="1">
      <alignment horizontal="left" vertical="top"/>
      <protection hidden="1"/>
    </xf>
    <xf numFmtId="0" fontId="3" fillId="18" borderId="39" xfId="0" applyFont="1" applyFill="1" applyBorder="1" applyProtection="1">
      <protection hidden="1"/>
    </xf>
    <xf numFmtId="0" fontId="6" fillId="0" borderId="0" xfId="0" applyFont="1" applyAlignment="1" applyProtection="1">
      <alignment vertical="top"/>
      <protection hidden="1"/>
    </xf>
    <xf numFmtId="0" fontId="11" fillId="0" borderId="8" xfId="0" applyFont="1" applyBorder="1" applyAlignment="1" applyProtection="1">
      <alignment vertical="center"/>
      <protection hidden="1"/>
    </xf>
    <xf numFmtId="0" fontId="15" fillId="0" borderId="43" xfId="0" applyFont="1" applyBorder="1" applyAlignment="1" applyProtection="1">
      <alignment horizontal="left" vertical="top"/>
      <protection hidden="1"/>
    </xf>
    <xf numFmtId="0" fontId="0" fillId="0" borderId="43" xfId="0" quotePrefix="1" applyBorder="1" applyProtection="1">
      <protection hidden="1"/>
    </xf>
    <xf numFmtId="0" fontId="15" fillId="0" borderId="43" xfId="0" quotePrefix="1" applyFont="1" applyBorder="1" applyProtection="1">
      <protection hidden="1"/>
    </xf>
    <xf numFmtId="0" fontId="11" fillId="3" borderId="7"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protection locked="0"/>
    </xf>
    <xf numFmtId="0" fontId="36" fillId="3" borderId="7" xfId="0" applyFont="1" applyFill="1" applyBorder="1" applyAlignment="1" applyProtection="1">
      <alignment horizontal="left" vertical="top" wrapText="1"/>
      <protection locked="0"/>
    </xf>
    <xf numFmtId="0" fontId="11" fillId="3" borderId="21" xfId="0" applyFont="1" applyFill="1" applyBorder="1" applyAlignment="1" applyProtection="1">
      <alignment horizontal="left" vertical="top"/>
      <protection locked="0"/>
    </xf>
    <xf numFmtId="0" fontId="36" fillId="22" borderId="7" xfId="0" applyFont="1" applyFill="1" applyBorder="1" applyAlignment="1" applyProtection="1">
      <alignment vertical="top" wrapText="1"/>
      <protection hidden="1"/>
    </xf>
    <xf numFmtId="0" fontId="11" fillId="0" borderId="0" xfId="0" applyFont="1" applyAlignment="1" applyProtection="1">
      <alignment vertical="top"/>
      <protection hidden="1"/>
    </xf>
    <xf numFmtId="0" fontId="1" fillId="23" borderId="3" xfId="0" applyFont="1" applyFill="1" applyBorder="1" applyAlignment="1" applyProtection="1">
      <alignment horizontal="left" vertical="top" wrapText="1"/>
      <protection hidden="1"/>
    </xf>
    <xf numFmtId="0" fontId="1" fillId="23" borderId="1" xfId="0" applyFont="1" applyFill="1" applyBorder="1" applyAlignment="1" applyProtection="1">
      <alignment horizontal="left" vertical="center"/>
      <protection hidden="1"/>
    </xf>
    <xf numFmtId="0" fontId="11" fillId="22" borderId="4" xfId="0" applyFont="1" applyFill="1" applyBorder="1" applyAlignment="1" applyProtection="1">
      <alignment vertical="top" wrapText="1"/>
      <protection hidden="1"/>
    </xf>
    <xf numFmtId="0" fontId="11" fillId="3" borderId="59" xfId="0" applyFont="1" applyFill="1" applyBorder="1" applyAlignment="1" applyProtection="1">
      <alignment vertical="top" wrapText="1"/>
      <protection locked="0"/>
    </xf>
    <xf numFmtId="0" fontId="11" fillId="3" borderId="60" xfId="0" applyFont="1" applyFill="1" applyBorder="1" applyAlignment="1" applyProtection="1">
      <alignment vertical="top"/>
      <protection locked="0"/>
    </xf>
    <xf numFmtId="0" fontId="16" fillId="7" borderId="7" xfId="1" applyFill="1" applyBorder="1" applyAlignment="1" applyProtection="1">
      <alignment horizontal="left" vertical="top" wrapText="1"/>
      <protection locked="0"/>
    </xf>
    <xf numFmtId="0" fontId="1" fillId="7" borderId="7" xfId="0" applyFont="1" applyFill="1" applyBorder="1" applyAlignment="1" applyProtection="1">
      <alignment horizontal="left" vertical="top" wrapText="1"/>
      <protection locked="0"/>
    </xf>
    <xf numFmtId="0" fontId="16" fillId="23" borderId="7" xfId="1" applyFill="1" applyBorder="1" applyAlignment="1" applyProtection="1">
      <alignment horizontal="left" vertical="top" wrapText="1"/>
      <protection locked="0"/>
    </xf>
    <xf numFmtId="0" fontId="1" fillId="0" borderId="0" xfId="0" applyFont="1" applyAlignment="1" applyProtection="1">
      <alignment horizontal="center"/>
      <protection hidden="1"/>
    </xf>
    <xf numFmtId="0" fontId="0" fillId="0" borderId="0" xfId="0" applyAlignment="1" applyProtection="1">
      <alignment horizontal="right"/>
      <protection hidden="1"/>
    </xf>
    <xf numFmtId="0" fontId="4" fillId="0" borderId="0" xfId="0" applyFont="1" applyProtection="1">
      <protection hidden="1"/>
    </xf>
    <xf numFmtId="0" fontId="1" fillId="0" borderId="0" xfId="0" quotePrefix="1" applyFont="1" applyProtection="1">
      <protection hidden="1"/>
    </xf>
    <xf numFmtId="0" fontId="15" fillId="0" borderId="0" xfId="0" applyFont="1" applyAlignment="1" applyProtection="1">
      <alignment horizontal="right"/>
      <protection hidden="1"/>
    </xf>
    <xf numFmtId="0" fontId="1" fillId="0" borderId="0" xfId="0" quotePrefix="1" applyFont="1" applyAlignment="1" applyProtection="1">
      <alignment horizontal="left" vertical="top"/>
      <protection hidden="1"/>
    </xf>
    <xf numFmtId="0" fontId="1" fillId="0" borderId="0" xfId="0" applyFont="1" applyAlignment="1" applyProtection="1">
      <alignment horizontal="right"/>
      <protection hidden="1"/>
    </xf>
    <xf numFmtId="0" fontId="6" fillId="0" borderId="0" xfId="0" applyFont="1" applyAlignment="1" applyProtection="1">
      <alignment horizontal="right"/>
      <protection hidden="1"/>
    </xf>
    <xf numFmtId="0" fontId="4" fillId="0" borderId="0" xfId="0" quotePrefix="1" applyFont="1" applyAlignment="1" applyProtection="1">
      <alignment horizontal="left" vertical="top"/>
      <protection hidden="1"/>
    </xf>
    <xf numFmtId="0" fontId="1" fillId="0" borderId="0" xfId="0" applyFont="1" applyAlignment="1" applyProtection="1">
      <alignment wrapText="1"/>
      <protection hidden="1"/>
    </xf>
    <xf numFmtId="0" fontId="1" fillId="3" borderId="48" xfId="0" applyFont="1" applyFill="1" applyBorder="1" applyProtection="1">
      <protection hidden="1"/>
    </xf>
    <xf numFmtId="0" fontId="1" fillId="3" borderId="49" xfId="0" applyFont="1" applyFill="1" applyBorder="1" applyProtection="1">
      <protection hidden="1"/>
    </xf>
    <xf numFmtId="0" fontId="1" fillId="3" borderId="50" xfId="0" applyFont="1" applyFill="1" applyBorder="1" applyProtection="1">
      <protection hidden="1"/>
    </xf>
    <xf numFmtId="0" fontId="1" fillId="3" borderId="51" xfId="0" applyFont="1" applyFill="1" applyBorder="1" applyProtection="1">
      <protection hidden="1"/>
    </xf>
    <xf numFmtId="0" fontId="1" fillId="3" borderId="0" xfId="0" applyFont="1" applyFill="1" applyAlignment="1" applyProtection="1">
      <alignment horizontal="center" vertical="center"/>
      <protection hidden="1"/>
    </xf>
    <xf numFmtId="0" fontId="1" fillId="3" borderId="0" xfId="0" applyFont="1" applyFill="1" applyAlignment="1" applyProtection="1">
      <alignment horizontal="left" vertical="center"/>
      <protection hidden="1"/>
    </xf>
    <xf numFmtId="0" fontId="1" fillId="3" borderId="52" xfId="0" applyFont="1" applyFill="1" applyBorder="1" applyAlignment="1" applyProtection="1">
      <alignment horizontal="center" vertical="center"/>
      <protection hidden="1"/>
    </xf>
    <xf numFmtId="0" fontId="15" fillId="0" borderId="0" xfId="0" applyFont="1" applyAlignment="1" applyProtection="1">
      <alignment horizontal="center" vertical="center"/>
      <protection hidden="1"/>
    </xf>
    <xf numFmtId="0" fontId="15" fillId="3" borderId="52" xfId="0" applyFont="1" applyFill="1" applyBorder="1" applyAlignment="1" applyProtection="1">
      <alignment horizontal="center" vertical="center"/>
      <protection hidden="1"/>
    </xf>
    <xf numFmtId="0" fontId="1" fillId="3" borderId="53" xfId="0" applyFont="1" applyFill="1" applyBorder="1" applyProtection="1">
      <protection hidden="1"/>
    </xf>
    <xf numFmtId="0" fontId="1" fillId="3" borderId="54" xfId="0" applyFont="1" applyFill="1" applyBorder="1" applyAlignment="1" applyProtection="1">
      <alignment horizontal="center" vertical="center"/>
      <protection hidden="1"/>
    </xf>
    <xf numFmtId="0" fontId="15" fillId="3" borderId="55" xfId="0" applyFont="1" applyFill="1" applyBorder="1" applyAlignment="1" applyProtection="1">
      <alignment horizontal="center" vertical="center"/>
      <protection hidden="1"/>
    </xf>
    <xf numFmtId="0" fontId="0" fillId="3" borderId="48" xfId="0"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1" fillId="3" borderId="0" xfId="0" applyFont="1" applyFill="1" applyProtection="1">
      <protection hidden="1"/>
    </xf>
    <xf numFmtId="0" fontId="0" fillId="3" borderId="52" xfId="0" applyFill="1" applyBorder="1" applyProtection="1">
      <protection hidden="1"/>
    </xf>
    <xf numFmtId="0" fontId="1" fillId="3" borderId="54" xfId="0" applyFont="1" applyFill="1" applyBorder="1" applyProtection="1">
      <protection hidden="1"/>
    </xf>
    <xf numFmtId="0" fontId="1" fillId="3" borderId="55" xfId="0" applyFont="1" applyFill="1" applyBorder="1" applyProtection="1">
      <protection hidden="1"/>
    </xf>
    <xf numFmtId="0" fontId="1" fillId="3" borderId="51" xfId="0" applyFont="1" applyFill="1" applyBorder="1" applyAlignment="1" applyProtection="1">
      <alignment horizontal="left"/>
      <protection hidden="1"/>
    </xf>
    <xf numFmtId="0" fontId="1" fillId="7" borderId="1" xfId="0" applyFont="1" applyFill="1" applyBorder="1" applyAlignment="1" applyProtection="1">
      <alignment horizontal="left" vertical="center"/>
      <protection locked="0"/>
    </xf>
    <xf numFmtId="0" fontId="16" fillId="7" borderId="1" xfId="1" applyFill="1" applyBorder="1" applyAlignment="1" applyProtection="1">
      <alignment horizontal="left" vertical="center" wrapText="1"/>
      <protection locked="0"/>
    </xf>
    <xf numFmtId="0" fontId="39" fillId="7" borderId="2" xfId="0" applyFont="1" applyFill="1" applyBorder="1" applyAlignment="1" applyProtection="1">
      <alignment vertical="center"/>
      <protection locked="0"/>
    </xf>
    <xf numFmtId="0" fontId="46" fillId="13" borderId="0" xfId="0" applyFont="1" applyFill="1" applyProtection="1">
      <protection hidden="1"/>
    </xf>
    <xf numFmtId="0" fontId="16" fillId="13" borderId="0" xfId="1" applyFill="1" applyProtection="1">
      <protection hidden="1"/>
    </xf>
    <xf numFmtId="0" fontId="4" fillId="4" borderId="0" xfId="0" applyFont="1" applyFill="1" applyAlignment="1" applyProtection="1">
      <alignment horizontal="right" vertical="top" wrapText="1" indent="1"/>
      <protection hidden="1"/>
    </xf>
    <xf numFmtId="0" fontId="13" fillId="15" borderId="0" xfId="0" applyFont="1" applyFill="1" applyProtection="1">
      <protection hidden="1"/>
    </xf>
    <xf numFmtId="0" fontId="1" fillId="0" borderId="0" xfId="0" applyFont="1" applyAlignment="1" applyProtection="1">
      <alignment vertical="top" wrapText="1"/>
      <protection hidden="1"/>
    </xf>
    <xf numFmtId="0" fontId="45" fillId="25" borderId="0" xfId="0" applyFont="1" applyFill="1" applyAlignment="1">
      <alignment vertical="center" wrapText="1"/>
    </xf>
    <xf numFmtId="0" fontId="2" fillId="0" borderId="0" xfId="0" applyFont="1" applyAlignment="1" applyProtection="1">
      <alignment horizontal="left" vertical="top" wrapText="1"/>
      <protection hidden="1"/>
    </xf>
    <xf numFmtId="0" fontId="33" fillId="25" borderId="0" xfId="0" applyFont="1" applyFill="1" applyAlignment="1">
      <alignment vertical="center" wrapText="1"/>
    </xf>
    <xf numFmtId="0" fontId="45" fillId="25" borderId="0" xfId="0" applyFont="1" applyFill="1"/>
    <xf numFmtId="0" fontId="16" fillId="3" borderId="23" xfId="1" applyFill="1" applyBorder="1" applyAlignment="1" applyProtection="1">
      <alignment horizontal="left" vertical="top" wrapText="1"/>
      <protection hidden="1"/>
    </xf>
    <xf numFmtId="0" fontId="24" fillId="13" borderId="22" xfId="0" applyFont="1" applyFill="1" applyBorder="1" applyAlignment="1" applyProtection="1">
      <alignment horizontal="left" vertical="top" wrapText="1"/>
      <protection hidden="1"/>
    </xf>
    <xf numFmtId="0" fontId="16" fillId="15" borderId="61" xfId="1" applyFill="1" applyBorder="1" applyAlignment="1" applyProtection="1">
      <alignment horizontal="left" vertical="center" wrapText="1"/>
      <protection hidden="1"/>
    </xf>
    <xf numFmtId="0" fontId="16" fillId="15" borderId="0" xfId="1" applyFill="1" applyProtection="1">
      <protection hidden="1"/>
    </xf>
    <xf numFmtId="0" fontId="57" fillId="15" borderId="0" xfId="0" applyFont="1" applyFill="1" applyProtection="1">
      <protection hidden="1"/>
    </xf>
    <xf numFmtId="0" fontId="58" fillId="15" borderId="0" xfId="0" applyFont="1" applyFill="1" applyProtection="1">
      <protection hidden="1"/>
    </xf>
    <xf numFmtId="0" fontId="58" fillId="15" borderId="0" xfId="0" applyFont="1" applyFill="1" applyAlignment="1" applyProtection="1">
      <alignment wrapText="1"/>
      <protection hidden="1"/>
    </xf>
    <xf numFmtId="0" fontId="49" fillId="15" borderId="0" xfId="0" applyFont="1" applyFill="1" applyProtection="1">
      <protection hidden="1"/>
    </xf>
    <xf numFmtId="0" fontId="58" fillId="15" borderId="0" xfId="0" applyFont="1" applyFill="1" applyAlignment="1" applyProtection="1">
      <alignment vertical="top" wrapText="1"/>
      <protection hidden="1"/>
    </xf>
    <xf numFmtId="0" fontId="4" fillId="4" borderId="0" xfId="0" applyFont="1" applyFill="1" applyAlignment="1" applyProtection="1">
      <alignment horizontal="right"/>
      <protection hidden="1"/>
    </xf>
    <xf numFmtId="0" fontId="33" fillId="4" borderId="0" xfId="0" applyFont="1" applyFill="1" applyProtection="1">
      <protection hidden="1"/>
    </xf>
    <xf numFmtId="0" fontId="45" fillId="4" borderId="0" xfId="0" applyFont="1" applyFill="1" applyProtection="1">
      <protection hidden="1"/>
    </xf>
    <xf numFmtId="0" fontId="33" fillId="4" borderId="0" xfId="0" applyFont="1" applyFill="1" applyAlignment="1">
      <alignment vertical="center" wrapText="1"/>
    </xf>
    <xf numFmtId="0" fontId="45" fillId="4" borderId="0" xfId="0" applyFont="1" applyFill="1"/>
    <xf numFmtId="0" fontId="45" fillId="4" borderId="0" xfId="0" applyFont="1" applyFill="1" applyAlignment="1">
      <alignment vertical="center" wrapText="1"/>
    </xf>
    <xf numFmtId="0" fontId="45" fillId="4" borderId="0" xfId="0" applyFont="1" applyFill="1" applyAlignment="1">
      <alignment horizontal="left" vertical="center" wrapText="1" indent="1"/>
    </xf>
    <xf numFmtId="0" fontId="45" fillId="4" borderId="0" xfId="0" applyFont="1" applyFill="1" applyAlignment="1">
      <alignment wrapText="1"/>
    </xf>
    <xf numFmtId="0" fontId="33" fillId="4" borderId="0" xfId="0" applyFont="1" applyFill="1" applyAlignment="1">
      <alignment wrapText="1"/>
    </xf>
    <xf numFmtId="0" fontId="1" fillId="4" borderId="0" xfId="0" applyFont="1" applyFill="1" applyProtection="1">
      <protection hidden="1"/>
    </xf>
    <xf numFmtId="0" fontId="1" fillId="25" borderId="0" xfId="0" applyFont="1" applyFill="1" applyProtection="1">
      <protection hidden="1"/>
    </xf>
    <xf numFmtId="0" fontId="33" fillId="25" borderId="0" xfId="0" applyFont="1" applyFill="1" applyProtection="1">
      <protection hidden="1"/>
    </xf>
    <xf numFmtId="0" fontId="45" fillId="25" borderId="0" xfId="0" applyFont="1" applyFill="1" applyProtection="1">
      <protection hidden="1"/>
    </xf>
    <xf numFmtId="0" fontId="4" fillId="25" borderId="0" xfId="0" applyFont="1" applyFill="1" applyAlignment="1" applyProtection="1">
      <alignment horizontal="right" vertical="top" indent="1"/>
      <protection hidden="1"/>
    </xf>
    <xf numFmtId="0" fontId="45" fillId="25" borderId="0" xfId="0" applyFont="1" applyFill="1" applyAlignment="1" applyProtection="1">
      <alignment wrapText="1"/>
      <protection hidden="1"/>
    </xf>
    <xf numFmtId="0" fontId="45" fillId="25" borderId="0" xfId="0" applyFont="1" applyFill="1" applyAlignment="1">
      <alignment wrapText="1"/>
    </xf>
    <xf numFmtId="0" fontId="33" fillId="25" borderId="0" xfId="0" applyFont="1" applyFill="1"/>
    <xf numFmtId="0" fontId="45" fillId="25" borderId="0" xfId="0" applyFont="1" applyFill="1" applyAlignment="1">
      <alignment vertical="top" wrapText="1"/>
    </xf>
    <xf numFmtId="0" fontId="33" fillId="25" borderId="0" xfId="0" applyFont="1" applyFill="1" applyAlignment="1">
      <alignment vertical="center"/>
    </xf>
    <xf numFmtId="0" fontId="0" fillId="22" borderId="0" xfId="0" applyFill="1"/>
    <xf numFmtId="0" fontId="16" fillId="7" borderId="0" xfId="1" applyFill="1" applyAlignment="1" applyProtection="1">
      <alignment horizontal="left" vertical="top" wrapText="1"/>
      <protection locked="0"/>
    </xf>
    <xf numFmtId="0" fontId="0" fillId="0" borderId="62" xfId="0" applyBorder="1" applyAlignment="1" applyProtection="1">
      <alignment horizontal="left" vertical="top"/>
      <protection hidden="1"/>
    </xf>
    <xf numFmtId="0" fontId="11" fillId="19" borderId="7" xfId="0" applyFont="1" applyFill="1" applyBorder="1" applyAlignment="1" applyProtection="1">
      <alignment vertical="top" wrapText="1"/>
      <protection hidden="1"/>
    </xf>
    <xf numFmtId="0" fontId="11" fillId="21" borderId="7" xfId="0" applyFont="1" applyFill="1" applyBorder="1" applyAlignment="1" applyProtection="1">
      <alignment vertical="top" wrapText="1"/>
      <protection locked="0"/>
    </xf>
    <xf numFmtId="0" fontId="16" fillId="19" borderId="8" xfId="1" applyFill="1" applyBorder="1" applyAlignment="1" applyProtection="1">
      <alignment vertical="top" wrapText="1"/>
      <protection locked="0"/>
    </xf>
    <xf numFmtId="0" fontId="1" fillId="19" borderId="7" xfId="0" applyFont="1" applyFill="1" applyBorder="1" applyAlignment="1" applyProtection="1">
      <alignment vertical="top" wrapText="1"/>
      <protection locked="0"/>
    </xf>
    <xf numFmtId="0" fontId="1" fillId="0" borderId="7" xfId="0" applyFont="1" applyBorder="1" applyAlignment="1" applyProtection="1">
      <alignment vertical="top" wrapText="1"/>
      <protection hidden="1"/>
    </xf>
    <xf numFmtId="0" fontId="16" fillId="19" borderId="7" xfId="1" applyFill="1" applyBorder="1" applyAlignment="1" applyProtection="1">
      <alignment vertical="top" wrapText="1"/>
      <protection locked="0"/>
    </xf>
    <xf numFmtId="0" fontId="0" fillId="25" borderId="7" xfId="0" applyFill="1" applyBorder="1" applyAlignment="1">
      <alignment vertical="top"/>
    </xf>
    <xf numFmtId="0" fontId="61" fillId="0" borderId="0" xfId="1" applyFont="1" applyAlignment="1" applyProtection="1">
      <alignment horizontal="right" wrapText="1"/>
      <protection locked="0"/>
    </xf>
    <xf numFmtId="0" fontId="16" fillId="22" borderId="12" xfId="1" applyFill="1" applyBorder="1" applyAlignment="1" applyProtection="1">
      <alignment horizontal="left" vertical="top"/>
      <protection locked="0"/>
    </xf>
    <xf numFmtId="0" fontId="16" fillId="22" borderId="13" xfId="1" applyFill="1" applyBorder="1" applyAlignment="1" applyProtection="1">
      <alignment horizontal="left" vertical="top"/>
      <protection locked="0"/>
    </xf>
    <xf numFmtId="0" fontId="1" fillId="3" borderId="7" xfId="0" quotePrefix="1" applyFont="1" applyFill="1" applyBorder="1" applyAlignment="1" applyProtection="1">
      <alignment vertical="top" wrapText="1"/>
      <protection hidden="1"/>
    </xf>
    <xf numFmtId="0" fontId="15" fillId="3" borderId="7" xfId="0" quotePrefix="1" applyFont="1" applyFill="1" applyBorder="1" applyAlignment="1" applyProtection="1">
      <alignment horizontal="left" vertical="top" wrapText="1"/>
      <protection hidden="1"/>
    </xf>
    <xf numFmtId="0" fontId="4" fillId="0" borderId="0" xfId="0" applyFont="1" applyAlignment="1" applyProtection="1">
      <alignment vertical="top" wrapText="1"/>
      <protection hidden="1"/>
    </xf>
    <xf numFmtId="0" fontId="40" fillId="0" borderId="0" xfId="0" applyFont="1" applyAlignment="1" applyProtection="1">
      <alignment vertical="top" wrapText="1"/>
      <protection hidden="1"/>
    </xf>
    <xf numFmtId="0" fontId="47" fillId="0" borderId="0" xfId="0" applyFont="1" applyAlignment="1" applyProtection="1">
      <alignment vertical="top" wrapText="1"/>
      <protection hidden="1"/>
    </xf>
    <xf numFmtId="0" fontId="47" fillId="0" borderId="0" xfId="0" quotePrefix="1" applyFont="1" applyAlignment="1" applyProtection="1">
      <alignment horizontal="left" vertical="top" wrapText="1"/>
      <protection hidden="1"/>
    </xf>
    <xf numFmtId="0" fontId="47" fillId="0" borderId="0" xfId="0" applyFont="1" applyAlignment="1" applyProtection="1">
      <alignment horizontal="left" vertical="top" wrapText="1"/>
      <protection hidden="1"/>
    </xf>
    <xf numFmtId="0" fontId="62" fillId="0" borderId="0" xfId="0" applyFont="1" applyProtection="1">
      <protection hidden="1"/>
    </xf>
    <xf numFmtId="0" fontId="47" fillId="0" borderId="0" xfId="0" applyFont="1" applyProtection="1">
      <protection hidden="1"/>
    </xf>
    <xf numFmtId="0" fontId="47" fillId="0" borderId="0" xfId="0" applyFont="1" applyAlignment="1" applyProtection="1">
      <alignment vertical="center"/>
      <protection hidden="1"/>
    </xf>
    <xf numFmtId="0" fontId="1" fillId="0" borderId="0" xfId="0" applyFont="1" applyAlignment="1" applyProtection="1">
      <alignment horizontal="center" vertical="center"/>
      <protection hidden="1"/>
    </xf>
    <xf numFmtId="0" fontId="47" fillId="0" borderId="0" xfId="0" applyFont="1" applyAlignment="1" applyProtection="1">
      <alignment horizontal="left" vertical="center"/>
      <protection hidden="1"/>
    </xf>
    <xf numFmtId="0" fontId="47" fillId="0" borderId="0" xfId="0" applyFont="1" applyAlignment="1" applyProtection="1">
      <alignment horizontal="center" vertical="center"/>
      <protection hidden="1"/>
    </xf>
    <xf numFmtId="0" fontId="63" fillId="0" borderId="0" xfId="0" applyFont="1" applyAlignment="1" applyProtection="1">
      <alignment horizontal="center" vertical="center"/>
      <protection hidden="1"/>
    </xf>
    <xf numFmtId="0" fontId="47" fillId="0" borderId="0" xfId="0" quotePrefix="1" applyFont="1" applyProtection="1">
      <protection hidden="1"/>
    </xf>
    <xf numFmtId="0" fontId="47" fillId="0" borderId="0" xfId="0" quotePrefix="1" applyFont="1" applyAlignment="1" applyProtection="1">
      <alignment horizontal="left" vertical="top"/>
      <protection hidden="1"/>
    </xf>
    <xf numFmtId="0" fontId="16" fillId="0" borderId="0" xfId="1" applyProtection="1">
      <protection hidden="1"/>
    </xf>
    <xf numFmtId="0" fontId="65" fillId="0" borderId="0" xfId="0" applyFont="1" applyProtection="1">
      <protection hidden="1"/>
    </xf>
    <xf numFmtId="0" fontId="66" fillId="0" borderId="0" xfId="0" applyFont="1" applyProtection="1">
      <protection hidden="1"/>
    </xf>
    <xf numFmtId="1" fontId="1" fillId="3" borderId="7" xfId="0" applyNumberFormat="1" applyFont="1" applyFill="1" applyBorder="1" applyAlignment="1" applyProtection="1">
      <alignment horizontal="left" vertical="top" wrapText="1"/>
      <protection hidden="1"/>
    </xf>
    <xf numFmtId="0" fontId="1" fillId="0" borderId="7" xfId="0" quotePrefix="1" applyFont="1" applyBorder="1" applyAlignment="1" applyProtection="1">
      <alignment vertical="top" wrapText="1"/>
      <protection hidden="1"/>
    </xf>
    <xf numFmtId="0" fontId="1" fillId="26" borderId="7" xfId="0" applyFont="1" applyFill="1" applyBorder="1" applyAlignment="1" applyProtection="1">
      <alignment horizontal="left" vertical="top" wrapText="1"/>
      <protection hidden="1"/>
    </xf>
    <xf numFmtId="0" fontId="36" fillId="0" borderId="0" xfId="0" applyFont="1" applyAlignment="1" applyProtection="1">
      <alignment horizontal="left" vertical="top"/>
      <protection hidden="1"/>
    </xf>
    <xf numFmtId="0" fontId="15" fillId="27" borderId="7" xfId="0" applyFont="1" applyFill="1" applyBorder="1" applyAlignment="1" applyProtection="1">
      <alignment horizontal="left" vertical="top" wrapText="1"/>
      <protection hidden="1"/>
    </xf>
    <xf numFmtId="0" fontId="16" fillId="14" borderId="7" xfId="1" applyFill="1" applyBorder="1" applyAlignment="1" applyProtection="1">
      <alignment horizontal="left" vertical="top" wrapText="1"/>
      <protection hidden="1"/>
    </xf>
    <xf numFmtId="0" fontId="4" fillId="7" borderId="66" xfId="0" applyFont="1" applyFill="1" applyBorder="1" applyAlignment="1">
      <alignment horizontal="left" vertical="top" wrapText="1"/>
    </xf>
    <xf numFmtId="0" fontId="3" fillId="0" borderId="0" xfId="0" applyFont="1" applyAlignment="1" applyProtection="1">
      <alignment vertical="top"/>
      <protection hidden="1"/>
    </xf>
    <xf numFmtId="0" fontId="1" fillId="26" borderId="12" xfId="0" applyFont="1" applyFill="1" applyBorder="1" applyAlignment="1" applyProtection="1">
      <alignment horizontal="left" vertical="top" wrapText="1"/>
      <protection hidden="1"/>
    </xf>
    <xf numFmtId="0" fontId="45" fillId="4" borderId="0" xfId="0" applyFont="1" applyFill="1" applyAlignment="1">
      <alignment vertical="top" wrapText="1"/>
    </xf>
    <xf numFmtId="0" fontId="0" fillId="4" borderId="0" xfId="0" applyFill="1" applyProtection="1">
      <protection hidden="1"/>
    </xf>
    <xf numFmtId="0" fontId="0" fillId="18" borderId="46" xfId="0" applyFill="1" applyBorder="1" applyAlignment="1" applyProtection="1">
      <alignment wrapText="1"/>
      <protection hidden="1"/>
    </xf>
    <xf numFmtId="0" fontId="0" fillId="18" borderId="47" xfId="0" applyFill="1" applyBorder="1" applyAlignment="1" applyProtection="1">
      <alignment wrapText="1"/>
      <protection hidden="1"/>
    </xf>
    <xf numFmtId="0" fontId="0" fillId="18" borderId="41" xfId="0" applyFill="1" applyBorder="1" applyAlignment="1" applyProtection="1">
      <alignment wrapText="1"/>
      <protection hidden="1"/>
    </xf>
    <xf numFmtId="0" fontId="0" fillId="3" borderId="7" xfId="0" applyFill="1" applyBorder="1" applyAlignment="1" applyProtection="1">
      <alignment horizontal="left" vertical="top" wrapText="1"/>
      <protection locked="0"/>
    </xf>
    <xf numFmtId="0" fontId="15" fillId="0" borderId="7" xfId="0" applyFont="1" applyBorder="1" applyAlignment="1" applyProtection="1">
      <alignment horizontal="left" vertical="top" wrapText="1"/>
      <protection hidden="1"/>
    </xf>
    <xf numFmtId="0" fontId="4" fillId="28" borderId="7" xfId="0" applyFont="1" applyFill="1" applyBorder="1" applyAlignment="1" applyProtection="1">
      <alignment horizontal="left" vertical="top" wrapText="1"/>
      <protection hidden="1"/>
    </xf>
    <xf numFmtId="0" fontId="27" fillId="3" borderId="0" xfId="0" applyFont="1" applyFill="1"/>
    <xf numFmtId="0" fontId="17" fillId="3" borderId="0" xfId="0" applyFont="1" applyFill="1" applyAlignment="1">
      <alignment vertical="center"/>
    </xf>
    <xf numFmtId="0" fontId="18" fillId="3" borderId="0" xfId="0" applyFont="1" applyFill="1" applyAlignment="1">
      <alignment vertical="center"/>
    </xf>
    <xf numFmtId="0" fontId="0" fillId="0" borderId="0" xfId="0" applyAlignment="1">
      <alignment vertical="top"/>
    </xf>
    <xf numFmtId="0" fontId="69" fillId="29" borderId="0" xfId="0" applyFont="1" applyFill="1"/>
    <xf numFmtId="0" fontId="70" fillId="29" borderId="0" xfId="0" applyFont="1" applyFill="1" applyAlignment="1">
      <alignment horizontal="left" vertical="top"/>
    </xf>
    <xf numFmtId="0" fontId="69" fillId="29" borderId="0" xfId="0" applyFont="1" applyFill="1" applyAlignment="1">
      <alignment vertical="top"/>
    </xf>
    <xf numFmtId="0" fontId="69" fillId="29" borderId="0" xfId="0" applyFont="1" applyFill="1" applyAlignment="1">
      <alignment vertical="center"/>
    </xf>
    <xf numFmtId="0" fontId="69" fillId="29" borderId="0" xfId="0" applyFont="1" applyFill="1" applyAlignment="1">
      <alignment horizontal="left" vertical="center" wrapText="1"/>
    </xf>
    <xf numFmtId="0" fontId="69" fillId="29" borderId="0" xfId="0" applyFont="1" applyFill="1" applyAlignment="1">
      <alignment horizontal="left" vertical="top"/>
    </xf>
    <xf numFmtId="0" fontId="71" fillId="29" borderId="0" xfId="0" applyFont="1" applyFill="1" applyAlignment="1">
      <alignment horizontal="left" vertical="top"/>
    </xf>
    <xf numFmtId="0" fontId="70" fillId="29" borderId="0" xfId="0" applyFont="1" applyFill="1" applyAlignment="1">
      <alignment horizontal="left"/>
    </xf>
    <xf numFmtId="0" fontId="68" fillId="0" borderId="0" xfId="0" applyFont="1"/>
    <xf numFmtId="0" fontId="62" fillId="0" borderId="0" xfId="0" quotePrefix="1" applyFont="1" applyProtection="1">
      <protection hidden="1"/>
    </xf>
    <xf numFmtId="0" fontId="13" fillId="4" borderId="0" xfId="0" applyFont="1" applyFill="1" applyProtection="1">
      <protection hidden="1"/>
    </xf>
    <xf numFmtId="0" fontId="74" fillId="30" borderId="7" xfId="0" applyFont="1" applyFill="1" applyBorder="1" applyAlignment="1">
      <alignment vertical="center" wrapText="1"/>
    </xf>
    <xf numFmtId="0" fontId="72" fillId="30" borderId="20" xfId="0" applyFont="1" applyFill="1" applyBorder="1" applyAlignment="1">
      <alignment horizontal="left" vertical="top" wrapText="1" indent="1"/>
    </xf>
    <xf numFmtId="0" fontId="72" fillId="30" borderId="63" xfId="0" applyFont="1" applyFill="1" applyBorder="1" applyAlignment="1">
      <alignment horizontal="left" vertical="top" wrapText="1" indent="1"/>
    </xf>
    <xf numFmtId="0" fontId="72" fillId="30" borderId="20" xfId="0" applyFont="1" applyFill="1" applyBorder="1" applyAlignment="1">
      <alignment horizontal="left" vertical="top" wrapText="1"/>
    </xf>
    <xf numFmtId="0" fontId="72" fillId="30" borderId="63" xfId="0" applyFont="1" applyFill="1" applyBorder="1" applyAlignment="1">
      <alignment horizontal="left" vertical="top" wrapText="1"/>
    </xf>
    <xf numFmtId="0" fontId="1" fillId="7" borderId="19" xfId="0" applyFont="1" applyFill="1" applyBorder="1" applyAlignment="1" applyProtection="1">
      <alignment horizontal="left" vertical="top" wrapText="1"/>
      <protection hidden="1"/>
    </xf>
    <xf numFmtId="0" fontId="77" fillId="7" borderId="9" xfId="0" applyFont="1" applyFill="1" applyBorder="1" applyAlignment="1" applyProtection="1">
      <alignment horizontal="left" vertical="top" wrapText="1"/>
      <protection hidden="1"/>
    </xf>
    <xf numFmtId="0" fontId="77" fillId="7" borderId="21" xfId="0" applyFont="1" applyFill="1" applyBorder="1" applyAlignment="1" applyProtection="1">
      <alignment horizontal="left" vertical="top" wrapText="1"/>
      <protection hidden="1"/>
    </xf>
    <xf numFmtId="0" fontId="77" fillId="9" borderId="21" xfId="0" applyFont="1" applyFill="1" applyBorder="1" applyAlignment="1" applyProtection="1">
      <alignment horizontal="left" vertical="top" wrapText="1"/>
      <protection hidden="1"/>
    </xf>
    <xf numFmtId="0" fontId="33" fillId="7" borderId="0" xfId="0" applyFont="1" applyFill="1" applyAlignment="1" applyProtection="1">
      <alignment horizontal="left" vertical="top" wrapText="1"/>
      <protection hidden="1"/>
    </xf>
    <xf numFmtId="0" fontId="73" fillId="31" borderId="64" xfId="0" applyFont="1" applyFill="1" applyBorder="1" applyAlignment="1">
      <alignment horizontal="left" vertical="top" wrapText="1" indent="1"/>
    </xf>
    <xf numFmtId="0" fontId="73" fillId="31" borderId="55" xfId="0" applyFont="1" applyFill="1" applyBorder="1" applyAlignment="1">
      <alignment horizontal="left" vertical="top" wrapText="1" indent="1"/>
    </xf>
    <xf numFmtId="0" fontId="73" fillId="31" borderId="64" xfId="0" applyFont="1" applyFill="1" applyBorder="1" applyAlignment="1">
      <alignment horizontal="left" vertical="top" wrapText="1"/>
    </xf>
    <xf numFmtId="0" fontId="17" fillId="3" borderId="0" xfId="0" applyFont="1" applyFill="1" applyAlignment="1">
      <alignment horizontal="left" vertical="center"/>
    </xf>
    <xf numFmtId="0" fontId="19" fillId="3" borderId="0" xfId="0" applyFont="1" applyFill="1" applyAlignment="1">
      <alignment horizontal="left" vertical="center"/>
    </xf>
    <xf numFmtId="0" fontId="16" fillId="3" borderId="0" xfId="1" applyFill="1" applyAlignment="1">
      <alignment horizontal="left" vertical="center"/>
    </xf>
    <xf numFmtId="0" fontId="43" fillId="3" borderId="0" xfId="1" applyFont="1" applyFill="1" applyAlignment="1">
      <alignment horizontal="left" vertical="center"/>
    </xf>
    <xf numFmtId="0" fontId="28" fillId="3" borderId="0" xfId="1" applyFont="1" applyFill="1" applyAlignment="1">
      <alignment horizontal="left"/>
    </xf>
    <xf numFmtId="0" fontId="50" fillId="2" borderId="2" xfId="0" applyFont="1" applyFill="1" applyBorder="1" applyAlignment="1" applyProtection="1">
      <alignment horizontal="left" vertical="center"/>
      <protection hidden="1"/>
    </xf>
    <xf numFmtId="0" fontId="49" fillId="0" borderId="3" xfId="0" applyFont="1" applyBorder="1" applyProtection="1">
      <protection hidden="1"/>
    </xf>
    <xf numFmtId="0" fontId="0" fillId="11" borderId="2" xfId="0" applyFill="1" applyBorder="1" applyAlignment="1" applyProtection="1">
      <alignment horizontal="left" vertical="center"/>
      <protection hidden="1"/>
    </xf>
    <xf numFmtId="0" fontId="7" fillId="11" borderId="3" xfId="0" applyFont="1" applyFill="1" applyBorder="1" applyAlignment="1" applyProtection="1">
      <alignment horizontal="left"/>
      <protection hidden="1"/>
    </xf>
    <xf numFmtId="0" fontId="50" fillId="2" borderId="5" xfId="0" applyFont="1" applyFill="1" applyBorder="1" applyAlignment="1" applyProtection="1">
      <alignment horizontal="left" vertical="center"/>
      <protection hidden="1"/>
    </xf>
    <xf numFmtId="0" fontId="49" fillId="0" borderId="6" xfId="0" applyFont="1" applyBorder="1" applyProtection="1">
      <protection hidden="1"/>
    </xf>
    <xf numFmtId="0" fontId="15" fillId="11" borderId="7" xfId="0" applyFont="1" applyFill="1" applyBorder="1" applyAlignment="1" applyProtection="1">
      <alignment horizontal="left" vertical="center" wrapText="1"/>
      <protection locked="0"/>
    </xf>
    <xf numFmtId="0" fontId="50" fillId="2" borderId="37" xfId="0" applyFont="1" applyFill="1" applyBorder="1" applyAlignment="1" applyProtection="1">
      <alignment horizontal="left" vertical="center" wrapText="1"/>
      <protection hidden="1"/>
    </xf>
    <xf numFmtId="0" fontId="49" fillId="0" borderId="0" xfId="0" applyFont="1" applyProtection="1">
      <protection hidden="1"/>
    </xf>
    <xf numFmtId="0" fontId="49" fillId="0" borderId="38" xfId="0" applyFont="1" applyBorder="1" applyProtection="1">
      <protection hidden="1"/>
    </xf>
    <xf numFmtId="0" fontId="50" fillId="2" borderId="7" xfId="0" applyFont="1" applyFill="1" applyBorder="1" applyAlignment="1" applyProtection="1">
      <alignment horizontal="left" vertical="center" wrapText="1"/>
      <protection hidden="1"/>
    </xf>
    <xf numFmtId="0" fontId="50" fillId="2" borderId="7" xfId="0" applyFont="1" applyFill="1" applyBorder="1" applyAlignment="1" applyProtection="1">
      <alignment horizontal="left" vertical="center"/>
      <protection hidden="1"/>
    </xf>
    <xf numFmtId="0" fontId="29" fillId="11" borderId="8" xfId="0" applyFont="1" applyFill="1" applyBorder="1" applyAlignment="1" applyProtection="1">
      <alignment horizontal="left" vertical="center"/>
      <protection locked="0"/>
    </xf>
    <xf numFmtId="0" fontId="29" fillId="11" borderId="17" xfId="0" applyFont="1" applyFill="1" applyBorder="1" applyAlignment="1" applyProtection="1">
      <alignment horizontal="left" vertical="center"/>
      <protection locked="0"/>
    </xf>
    <xf numFmtId="0" fontId="29" fillId="11" borderId="18" xfId="0" applyFont="1" applyFill="1" applyBorder="1" applyAlignment="1" applyProtection="1">
      <alignment horizontal="left" vertical="center"/>
      <protection locked="0"/>
    </xf>
    <xf numFmtId="0" fontId="29" fillId="11" borderId="12" xfId="0" applyFont="1" applyFill="1" applyBorder="1" applyAlignment="1" applyProtection="1">
      <alignment vertical="center" wrapText="1"/>
      <protection locked="0"/>
    </xf>
    <xf numFmtId="0" fontId="29" fillId="11" borderId="13" xfId="0" applyFont="1" applyFill="1" applyBorder="1" applyAlignment="1" applyProtection="1">
      <alignment vertical="center" wrapText="1"/>
      <protection locked="0"/>
    </xf>
    <xf numFmtId="0" fontId="29" fillId="11" borderId="14" xfId="0" applyFont="1" applyFill="1" applyBorder="1" applyAlignment="1" applyProtection="1">
      <alignment vertical="center" wrapText="1"/>
      <protection locked="0"/>
    </xf>
    <xf numFmtId="0" fontId="29" fillId="11" borderId="8" xfId="0" applyFont="1" applyFill="1" applyBorder="1" applyAlignment="1" applyProtection="1">
      <alignment vertical="center"/>
      <protection locked="0"/>
    </xf>
    <xf numFmtId="0" fontId="29" fillId="11" borderId="17" xfId="0" applyFont="1" applyFill="1" applyBorder="1" applyAlignment="1" applyProtection="1">
      <alignment vertical="center"/>
      <protection locked="0"/>
    </xf>
    <xf numFmtId="0" fontId="29" fillId="11" borderId="18" xfId="0" applyFont="1" applyFill="1" applyBorder="1" applyAlignment="1" applyProtection="1">
      <alignment vertical="center"/>
      <protection locked="0"/>
    </xf>
    <xf numFmtId="0" fontId="50" fillId="0" borderId="0" xfId="0" quotePrefix="1" applyFont="1" applyAlignment="1" applyProtection="1">
      <alignment vertical="center" wrapText="1"/>
      <protection hidden="1"/>
    </xf>
    <xf numFmtId="0" fontId="50" fillId="0" borderId="0" xfId="0" applyFont="1" applyAlignment="1" applyProtection="1">
      <alignment vertical="center" wrapText="1"/>
      <protection hidden="1"/>
    </xf>
    <xf numFmtId="0" fontId="50" fillId="0" borderId="0" xfId="0" applyFont="1" applyAlignment="1" applyProtection="1">
      <alignment vertical="center"/>
      <protection hidden="1"/>
    </xf>
    <xf numFmtId="0" fontId="29" fillId="15" borderId="8" xfId="0" applyFont="1" applyFill="1" applyBorder="1" applyAlignment="1" applyProtection="1">
      <alignment horizontal="left" vertical="center"/>
      <protection locked="0"/>
    </xf>
    <xf numFmtId="0" fontId="29" fillId="15" borderId="18" xfId="0" applyFont="1" applyFill="1" applyBorder="1" applyAlignment="1" applyProtection="1">
      <alignment horizontal="left" vertical="center"/>
      <protection locked="0"/>
    </xf>
    <xf numFmtId="0" fontId="50" fillId="0" borderId="0" xfId="0" applyFont="1" applyAlignment="1" applyProtection="1">
      <alignment horizontal="left" vertical="center"/>
      <protection hidden="1"/>
    </xf>
    <xf numFmtId="0" fontId="50" fillId="0" borderId="23" xfId="0" applyFont="1" applyBorder="1" applyAlignment="1" applyProtection="1">
      <alignment horizontal="left" vertical="center"/>
      <protection hidden="1"/>
    </xf>
    <xf numFmtId="0" fontId="76" fillId="7" borderId="9" xfId="0" applyFont="1" applyFill="1" applyBorder="1" applyAlignment="1" applyProtection="1">
      <alignment horizontal="left" vertical="top" wrapText="1"/>
      <protection hidden="1"/>
    </xf>
    <xf numFmtId="0" fontId="76" fillId="7" borderId="11" xfId="0" applyFont="1" applyFill="1" applyBorder="1" applyAlignment="1" applyProtection="1">
      <alignment horizontal="left" vertical="top" wrapText="1"/>
      <protection hidden="1"/>
    </xf>
    <xf numFmtId="0" fontId="2" fillId="7" borderId="8" xfId="0" applyFont="1" applyFill="1" applyBorder="1" applyAlignment="1" applyProtection="1">
      <alignment horizontal="left" vertical="top" wrapText="1"/>
      <protection hidden="1"/>
    </xf>
    <xf numFmtId="0" fontId="2" fillId="7" borderId="18" xfId="0" applyFont="1" applyFill="1" applyBorder="1" applyAlignment="1" applyProtection="1">
      <alignment horizontal="left" vertical="top" wrapText="1"/>
      <protection hidden="1"/>
    </xf>
    <xf numFmtId="0" fontId="15" fillId="0" borderId="0" xfId="0" applyFont="1" applyAlignment="1" applyProtection="1">
      <alignment horizontal="center"/>
      <protection hidden="1"/>
    </xf>
    <xf numFmtId="0" fontId="0" fillId="0" borderId="0" xfId="0" applyAlignment="1" applyProtection="1">
      <alignment horizontal="center"/>
      <protection hidden="1"/>
    </xf>
    <xf numFmtId="0" fontId="15" fillId="4" borderId="21" xfId="0" applyFont="1" applyFill="1" applyBorder="1" applyAlignment="1" applyProtection="1">
      <alignment horizontal="left" vertical="top" wrapText="1"/>
      <protection hidden="1"/>
    </xf>
    <xf numFmtId="0" fontId="15" fillId="4" borderId="19" xfId="0" applyFont="1" applyFill="1" applyBorder="1" applyAlignment="1" applyProtection="1">
      <alignment horizontal="left" vertical="top" wrapText="1"/>
      <protection hidden="1"/>
    </xf>
    <xf numFmtId="0" fontId="1" fillId="3" borderId="21" xfId="0" applyFont="1" applyFill="1" applyBorder="1" applyAlignment="1" applyProtection="1">
      <alignment horizontal="left" vertical="top" wrapText="1"/>
      <protection locked="0"/>
    </xf>
    <xf numFmtId="0" fontId="1" fillId="3" borderId="19" xfId="0" applyFont="1" applyFill="1" applyBorder="1" applyAlignment="1" applyProtection="1">
      <alignment horizontal="left" vertical="top" wrapText="1"/>
      <protection locked="0"/>
    </xf>
    <xf numFmtId="0" fontId="76" fillId="7" borderId="8" xfId="0" applyFont="1" applyFill="1" applyBorder="1" applyAlignment="1" applyProtection="1">
      <alignment horizontal="left" vertical="top" wrapText="1"/>
      <protection hidden="1"/>
    </xf>
    <xf numFmtId="0" fontId="76" fillId="7" borderId="18" xfId="0" applyFont="1" applyFill="1" applyBorder="1" applyAlignment="1" applyProtection="1">
      <alignment horizontal="left" vertical="top" wrapText="1"/>
      <protection hidden="1"/>
    </xf>
    <xf numFmtId="0" fontId="15" fillId="18" borderId="10" xfId="0" quotePrefix="1" applyFont="1" applyFill="1" applyBorder="1" applyAlignment="1" applyProtection="1">
      <alignment horizontal="left" vertical="top" wrapText="1"/>
      <protection hidden="1"/>
    </xf>
    <xf numFmtId="0" fontId="15" fillId="18" borderId="13" xfId="0" quotePrefix="1" applyFont="1" applyFill="1" applyBorder="1" applyAlignment="1" applyProtection="1">
      <alignment horizontal="left" vertical="top" wrapText="1"/>
      <protection hidden="1"/>
    </xf>
    <xf numFmtId="0" fontId="15" fillId="3" borderId="21" xfId="0" applyFont="1" applyFill="1" applyBorder="1" applyAlignment="1" applyProtection="1">
      <alignment horizontal="left" vertical="top" wrapText="1"/>
      <protection locked="0"/>
    </xf>
    <xf numFmtId="0" fontId="0" fillId="3" borderId="19" xfId="0" applyFill="1" applyBorder="1" applyAlignment="1" applyProtection="1">
      <alignment horizontal="left" vertical="top" wrapText="1"/>
      <protection locked="0"/>
    </xf>
    <xf numFmtId="0" fontId="2" fillId="17" borderId="8" xfId="0" applyFont="1" applyFill="1" applyBorder="1" applyAlignment="1" applyProtection="1">
      <alignment horizontal="left" vertical="top" wrapText="1"/>
      <protection hidden="1"/>
    </xf>
    <xf numFmtId="0" fontId="2" fillId="17" borderId="18" xfId="0" applyFont="1" applyFill="1" applyBorder="1" applyAlignment="1" applyProtection="1">
      <alignment horizontal="left" vertical="top" wrapText="1"/>
      <protection hidden="1"/>
    </xf>
    <xf numFmtId="0" fontId="76" fillId="9" borderId="9" xfId="0" applyFont="1" applyFill="1" applyBorder="1" applyAlignment="1" applyProtection="1">
      <alignment horizontal="left" vertical="top" wrapText="1"/>
      <protection hidden="1"/>
    </xf>
    <xf numFmtId="0" fontId="76" fillId="9" borderId="11" xfId="0" applyFont="1" applyFill="1" applyBorder="1" applyAlignment="1" applyProtection="1">
      <alignment horizontal="left" vertical="top" wrapText="1"/>
      <protection hidden="1"/>
    </xf>
    <xf numFmtId="0" fontId="0" fillId="0" borderId="12" xfId="0" applyBorder="1" applyAlignment="1" applyProtection="1">
      <alignment horizontal="left" vertical="top" wrapText="1"/>
      <protection hidden="1"/>
    </xf>
    <xf numFmtId="0" fontId="0" fillId="0" borderId="13" xfId="0" applyBorder="1" applyAlignment="1" applyProtection="1">
      <alignment horizontal="left" vertical="top" wrapText="1"/>
      <protection hidden="1"/>
    </xf>
    <xf numFmtId="0" fontId="0" fillId="0" borderId="14" xfId="0" applyBorder="1" applyAlignment="1" applyProtection="1">
      <alignment horizontal="left" vertical="top" wrapText="1"/>
      <protection hidden="1"/>
    </xf>
    <xf numFmtId="0" fontId="0" fillId="0" borderId="9" xfId="0" applyBorder="1" applyAlignment="1" applyProtection="1">
      <alignment horizontal="left" vertical="top" wrapText="1"/>
      <protection hidden="1"/>
    </xf>
    <xf numFmtId="0" fontId="0" fillId="0" borderId="10" xfId="0" applyBorder="1" applyAlignment="1" applyProtection="1">
      <alignment horizontal="left" vertical="top" wrapText="1"/>
      <protection hidden="1"/>
    </xf>
    <xf numFmtId="0" fontId="0" fillId="0" borderId="11" xfId="0" applyBorder="1" applyAlignment="1" applyProtection="1">
      <alignment horizontal="left" vertical="top" wrapText="1"/>
      <protection hidden="1"/>
    </xf>
    <xf numFmtId="0" fontId="0" fillId="0" borderId="22" xfId="0" applyBorder="1" applyAlignment="1" applyProtection="1">
      <alignment horizontal="left" vertical="top" wrapText="1"/>
      <protection hidden="1"/>
    </xf>
    <xf numFmtId="0" fontId="0" fillId="0" borderId="0" xfId="0" applyAlignment="1" applyProtection="1">
      <alignment horizontal="left" vertical="top" wrapText="1"/>
      <protection hidden="1"/>
    </xf>
    <xf numFmtId="0" fontId="0" fillId="0" borderId="23" xfId="0" applyBorder="1" applyAlignment="1" applyProtection="1">
      <alignment horizontal="left" vertical="top" wrapText="1"/>
      <protection hidden="1"/>
    </xf>
    <xf numFmtId="0" fontId="0" fillId="0" borderId="9" xfId="0" applyBorder="1" applyAlignment="1" applyProtection="1">
      <alignment vertical="top" wrapText="1"/>
      <protection hidden="1"/>
    </xf>
    <xf numFmtId="0" fontId="0" fillId="0" borderId="10" xfId="0" applyBorder="1" applyAlignment="1" applyProtection="1">
      <alignment vertical="top" wrapText="1"/>
      <protection hidden="1"/>
    </xf>
    <xf numFmtId="0" fontId="0" fillId="0" borderId="11" xfId="0" applyBorder="1" applyAlignment="1" applyProtection="1">
      <alignment vertical="top" wrapText="1"/>
      <protection hidden="1"/>
    </xf>
    <xf numFmtId="0" fontId="14" fillId="0" borderId="37" xfId="0" applyFont="1" applyBorder="1" applyAlignment="1" applyProtection="1">
      <alignment horizontal="left" vertical="center" wrapText="1"/>
      <protection hidden="1"/>
    </xf>
    <xf numFmtId="0" fontId="7" fillId="0" borderId="0" xfId="0" applyFont="1" applyProtection="1">
      <protection hidden="1"/>
    </xf>
    <xf numFmtId="0" fontId="7" fillId="0" borderId="38" xfId="0" applyFont="1" applyBorder="1" applyProtection="1">
      <protection hidden="1"/>
    </xf>
    <xf numFmtId="0" fontId="15" fillId="0" borderId="8" xfId="0" applyFont="1" applyBorder="1" applyAlignment="1" applyProtection="1">
      <alignment horizontal="left" vertical="center" wrapText="1"/>
      <protection hidden="1"/>
    </xf>
    <xf numFmtId="0" fontId="15" fillId="0" borderId="17" xfId="0" applyFont="1" applyBorder="1" applyAlignment="1" applyProtection="1">
      <alignment horizontal="left" vertical="center" wrapText="1"/>
      <protection hidden="1"/>
    </xf>
    <xf numFmtId="0" fontId="15" fillId="0" borderId="18" xfId="0" applyFont="1" applyBorder="1" applyAlignment="1" applyProtection="1">
      <alignment horizontal="left" vertical="center" wrapText="1"/>
      <protection hidden="1"/>
    </xf>
    <xf numFmtId="0" fontId="45" fillId="0" borderId="0" xfId="0" quotePrefix="1" applyFont="1" applyAlignment="1" applyProtection="1">
      <alignment horizontal="left" vertical="center" wrapText="1"/>
      <protection hidden="1"/>
    </xf>
    <xf numFmtId="0" fontId="1" fillId="0" borderId="0" xfId="0" applyFont="1" applyAlignment="1" applyProtection="1">
      <alignment vertical="center"/>
      <protection hidden="1"/>
    </xf>
    <xf numFmtId="0" fontId="30" fillId="0" borderId="0" xfId="0" applyFont="1" applyAlignment="1" applyProtection="1">
      <alignment horizontal="left" vertical="center"/>
      <protection hidden="1"/>
    </xf>
    <xf numFmtId="0" fontId="0" fillId="0" borderId="56" xfId="0" applyBorder="1" applyAlignment="1" applyProtection="1">
      <alignment horizontal="left" vertical="center"/>
      <protection hidden="1"/>
    </xf>
    <xf numFmtId="0" fontId="0" fillId="0" borderId="3" xfId="0" applyBorder="1" applyAlignment="1" applyProtection="1">
      <alignment horizontal="left" vertical="center"/>
      <protection hidden="1"/>
    </xf>
    <xf numFmtId="0" fontId="15" fillId="0" borderId="57" xfId="0" applyFont="1" applyBorder="1" applyAlignment="1" applyProtection="1">
      <alignment horizontal="left" vertical="center" wrapText="1"/>
      <protection hidden="1"/>
    </xf>
    <xf numFmtId="0" fontId="15" fillId="0" borderId="58" xfId="0" applyFont="1" applyBorder="1" applyAlignment="1" applyProtection="1">
      <alignment horizontal="left" vertical="center" wrapText="1"/>
      <protection hidden="1"/>
    </xf>
    <xf numFmtId="0" fontId="0" fillId="0" borderId="10" xfId="0" applyBorder="1" applyAlignment="1" applyProtection="1">
      <alignment horizontal="left" vertical="top"/>
      <protection hidden="1"/>
    </xf>
    <xf numFmtId="0" fontId="0" fillId="0" borderId="11" xfId="0" applyBorder="1" applyAlignment="1" applyProtection="1">
      <alignment horizontal="left" vertical="top"/>
      <protection hidden="1"/>
    </xf>
    <xf numFmtId="0" fontId="15" fillId="0" borderId="13" xfId="0" applyFont="1" applyBorder="1" applyAlignment="1" applyProtection="1">
      <alignment horizontal="left" vertical="top" wrapText="1"/>
      <protection hidden="1"/>
    </xf>
    <xf numFmtId="0" fontId="0" fillId="0" borderId="44" xfId="0" quotePrefix="1" applyBorder="1" applyAlignment="1" applyProtection="1">
      <alignment horizontal="left" vertical="top" wrapText="1"/>
      <protection hidden="1"/>
    </xf>
    <xf numFmtId="0" fontId="0" fillId="0" borderId="45" xfId="0" quotePrefix="1" applyBorder="1" applyAlignment="1" applyProtection="1">
      <alignment horizontal="left" vertical="top" wrapText="1"/>
      <protection hidden="1"/>
    </xf>
    <xf numFmtId="0" fontId="0" fillId="0" borderId="46" xfId="0" quotePrefix="1" applyBorder="1" applyAlignment="1" applyProtection="1">
      <alignment horizontal="left" vertical="top" wrapText="1"/>
      <protection hidden="1"/>
    </xf>
    <xf numFmtId="0" fontId="0" fillId="0" borderId="42" xfId="0" quotePrefix="1" applyBorder="1" applyAlignment="1" applyProtection="1">
      <alignment horizontal="left" vertical="top" wrapText="1"/>
      <protection hidden="1"/>
    </xf>
    <xf numFmtId="0" fontId="0" fillId="0" borderId="39" xfId="0" quotePrefix="1" applyBorder="1" applyAlignment="1" applyProtection="1">
      <alignment horizontal="left" vertical="top" wrapText="1"/>
      <protection hidden="1"/>
    </xf>
    <xf numFmtId="0" fontId="0" fillId="0" borderId="41" xfId="0" quotePrefix="1" applyBorder="1" applyAlignment="1" applyProtection="1">
      <alignment horizontal="left" vertical="top" wrapText="1"/>
      <protection hidden="1"/>
    </xf>
    <xf numFmtId="0" fontId="0" fillId="0" borderId="40" xfId="0" quotePrefix="1" applyBorder="1" applyAlignment="1" applyProtection="1">
      <alignment horizontal="left" vertical="top" wrapText="1"/>
      <protection hidden="1"/>
    </xf>
    <xf numFmtId="0" fontId="0" fillId="0" borderId="0" xfId="0" quotePrefix="1" applyAlignment="1" applyProtection="1">
      <alignment horizontal="left" vertical="top" wrapText="1"/>
      <protection hidden="1"/>
    </xf>
    <xf numFmtId="0" fontId="0" fillId="0" borderId="47" xfId="0" quotePrefix="1" applyBorder="1" applyAlignment="1" applyProtection="1">
      <alignment horizontal="left" vertical="top" wrapText="1"/>
      <protection hidden="1"/>
    </xf>
    <xf numFmtId="0" fontId="0" fillId="0" borderId="10" xfId="0" quotePrefix="1" applyBorder="1" applyAlignment="1" applyProtection="1">
      <alignment horizontal="left" vertical="top" wrapText="1"/>
      <protection hidden="1"/>
    </xf>
    <xf numFmtId="0" fontId="0" fillId="0" borderId="11" xfId="0" quotePrefix="1" applyBorder="1" applyAlignment="1" applyProtection="1">
      <alignment horizontal="left" vertical="top" wrapText="1"/>
      <protection hidden="1"/>
    </xf>
    <xf numFmtId="0" fontId="2" fillId="9" borderId="8" xfId="0" applyFont="1" applyFill="1" applyBorder="1" applyAlignment="1" applyProtection="1">
      <alignment horizontal="left" vertical="center" wrapText="1"/>
      <protection hidden="1"/>
    </xf>
    <xf numFmtId="0" fontId="2" fillId="9" borderId="17" xfId="0" applyFont="1" applyFill="1" applyBorder="1" applyAlignment="1" applyProtection="1">
      <alignment horizontal="left" vertical="center" wrapText="1"/>
      <protection hidden="1"/>
    </xf>
    <xf numFmtId="0" fontId="2" fillId="9" borderId="18" xfId="0" applyFont="1" applyFill="1" applyBorder="1" applyAlignment="1" applyProtection="1">
      <alignment horizontal="left" vertical="center" wrapText="1"/>
      <protection hidden="1"/>
    </xf>
    <xf numFmtId="0" fontId="77" fillId="7" borderId="22" xfId="0" applyFont="1" applyFill="1" applyBorder="1" applyAlignment="1" applyProtection="1">
      <alignment horizontal="left" vertical="top" wrapText="1"/>
      <protection hidden="1"/>
    </xf>
    <xf numFmtId="0" fontId="77" fillId="7" borderId="12" xfId="0" applyFont="1" applyFill="1" applyBorder="1" applyAlignment="1" applyProtection="1">
      <alignment horizontal="left" vertical="top" wrapText="1"/>
      <protection hidden="1"/>
    </xf>
    <xf numFmtId="0" fontId="77" fillId="7" borderId="9" xfId="0" applyFont="1" applyFill="1" applyBorder="1" applyAlignment="1" applyProtection="1">
      <alignment horizontal="left" vertical="top" wrapText="1"/>
      <protection hidden="1"/>
    </xf>
    <xf numFmtId="0" fontId="0" fillId="0" borderId="12" xfId="0" quotePrefix="1" applyBorder="1" applyAlignment="1" applyProtection="1">
      <alignment horizontal="left" vertical="top" wrapText="1"/>
      <protection hidden="1"/>
    </xf>
    <xf numFmtId="0" fontId="0" fillId="0" borderId="13" xfId="0" quotePrefix="1" applyBorder="1" applyAlignment="1" applyProtection="1">
      <alignment horizontal="left" vertical="top" wrapText="1"/>
      <protection hidden="1"/>
    </xf>
    <xf numFmtId="0" fontId="0" fillId="0" borderId="14" xfId="0" quotePrefix="1" applyBorder="1" applyAlignment="1" applyProtection="1">
      <alignment horizontal="left" vertical="top" wrapText="1"/>
      <protection hidden="1"/>
    </xf>
    <xf numFmtId="0" fontId="33" fillId="0" borderId="0" xfId="0" applyFont="1" applyAlignment="1" applyProtection="1">
      <alignment horizontal="right" vertical="center"/>
      <protection hidden="1"/>
    </xf>
    <xf numFmtId="0" fontId="33" fillId="0" borderId="23" xfId="0" applyFont="1" applyBorder="1" applyAlignment="1" applyProtection="1">
      <alignment horizontal="right" vertical="center"/>
      <protection hidden="1"/>
    </xf>
    <xf numFmtId="0" fontId="0" fillId="0" borderId="9" xfId="0" quotePrefix="1" applyBorder="1" applyAlignment="1" applyProtection="1">
      <alignment horizontal="left" vertical="top" wrapText="1"/>
      <protection hidden="1"/>
    </xf>
    <xf numFmtId="0" fontId="2" fillId="8" borderId="30" xfId="0" applyFont="1" applyFill="1" applyBorder="1" applyAlignment="1" applyProtection="1">
      <alignment horizontal="left" vertical="center" wrapText="1"/>
      <protection hidden="1"/>
    </xf>
    <xf numFmtId="0" fontId="2" fillId="8" borderId="31" xfId="0" applyFont="1" applyFill="1" applyBorder="1" applyAlignment="1" applyProtection="1">
      <alignment horizontal="left" vertical="center" wrapText="1"/>
      <protection hidden="1"/>
    </xf>
    <xf numFmtId="0" fontId="2" fillId="8" borderId="33" xfId="0" applyFont="1" applyFill="1" applyBorder="1" applyAlignment="1" applyProtection="1">
      <alignment horizontal="left" vertical="center" wrapText="1"/>
      <protection hidden="1"/>
    </xf>
    <xf numFmtId="0" fontId="2" fillId="8" borderId="7" xfId="0" applyFont="1" applyFill="1" applyBorder="1" applyAlignment="1" applyProtection="1">
      <alignment horizontal="left" vertical="center" wrapText="1"/>
      <protection hidden="1"/>
    </xf>
    <xf numFmtId="0" fontId="2" fillId="8" borderId="27" xfId="0" applyFont="1" applyFill="1" applyBorder="1" applyAlignment="1" applyProtection="1">
      <alignment horizontal="left" vertical="center"/>
      <protection hidden="1"/>
    </xf>
    <xf numFmtId="0" fontId="2" fillId="8" borderId="28" xfId="0" applyFont="1" applyFill="1" applyBorder="1" applyAlignment="1" applyProtection="1">
      <alignment horizontal="left" vertical="center"/>
      <protection hidden="1"/>
    </xf>
    <xf numFmtId="0" fontId="30" fillId="8" borderId="28" xfId="0" applyFont="1" applyFill="1" applyBorder="1" applyAlignment="1" applyProtection="1">
      <alignment horizontal="left" vertical="center" wrapText="1" indent="1"/>
      <protection hidden="1"/>
    </xf>
    <xf numFmtId="0" fontId="30" fillId="8" borderId="29" xfId="0" applyFont="1" applyFill="1" applyBorder="1" applyAlignment="1" applyProtection="1">
      <alignment horizontal="left" vertical="center" wrapText="1" indent="1"/>
      <protection hidden="1"/>
    </xf>
    <xf numFmtId="0" fontId="30" fillId="0" borderId="31" xfId="0" applyFont="1" applyBorder="1" applyAlignment="1" applyProtection="1">
      <alignment horizontal="left" vertical="center" wrapText="1" indent="1"/>
      <protection hidden="1"/>
    </xf>
    <xf numFmtId="0" fontId="30" fillId="0" borderId="32" xfId="0" applyFont="1" applyBorder="1" applyAlignment="1" applyProtection="1">
      <alignment horizontal="left" vertical="center" wrapText="1" indent="1"/>
      <protection hidden="1"/>
    </xf>
    <xf numFmtId="0" fontId="30" fillId="0" borderId="7" xfId="0" applyFont="1" applyBorder="1" applyAlignment="1" applyProtection="1">
      <alignment horizontal="left" vertical="center" wrapText="1" indent="1"/>
      <protection hidden="1"/>
    </xf>
    <xf numFmtId="0" fontId="30" fillId="0" borderId="34" xfId="0" applyFont="1" applyBorder="1" applyAlignment="1" applyProtection="1">
      <alignment horizontal="left" vertical="center" wrapText="1" indent="1"/>
      <protection hidden="1"/>
    </xf>
    <xf numFmtId="0" fontId="14" fillId="4" borderId="8" xfId="0" applyFont="1" applyFill="1" applyBorder="1" applyAlignment="1" applyProtection="1">
      <alignment horizontal="left" vertical="center" wrapText="1"/>
      <protection hidden="1"/>
    </xf>
    <xf numFmtId="0" fontId="14" fillId="4" borderId="10" xfId="0" applyFont="1" applyFill="1" applyBorder="1" applyAlignment="1" applyProtection="1">
      <alignment horizontal="left" vertical="center"/>
      <protection hidden="1"/>
    </xf>
    <xf numFmtId="0" fontId="14" fillId="4" borderId="11" xfId="0" applyFont="1" applyFill="1" applyBorder="1" applyAlignment="1" applyProtection="1">
      <alignment horizontal="left" vertical="center"/>
      <protection hidden="1"/>
    </xf>
    <xf numFmtId="0" fontId="2" fillId="8" borderId="24" xfId="0" applyFont="1" applyFill="1" applyBorder="1" applyAlignment="1" applyProtection="1">
      <alignment horizontal="left" vertical="center" wrapText="1"/>
      <protection hidden="1"/>
    </xf>
    <xf numFmtId="0" fontId="2" fillId="8" borderId="25" xfId="0" applyFont="1" applyFill="1" applyBorder="1" applyAlignment="1" applyProtection="1">
      <alignment horizontal="left" vertical="center" wrapText="1"/>
      <protection hidden="1"/>
    </xf>
    <xf numFmtId="0" fontId="30" fillId="0" borderId="25" xfId="0" applyFont="1" applyBorder="1" applyAlignment="1" applyProtection="1">
      <alignment horizontal="left" vertical="center" wrapText="1" indent="1"/>
      <protection hidden="1"/>
    </xf>
    <xf numFmtId="0" fontId="30" fillId="0" borderId="26" xfId="0" applyFont="1" applyBorder="1" applyAlignment="1" applyProtection="1">
      <alignment horizontal="left" vertical="center" wrapText="1" indent="1"/>
      <protection hidden="1"/>
    </xf>
    <xf numFmtId="0" fontId="29" fillId="3" borderId="9" xfId="0" applyFont="1" applyFill="1" applyBorder="1" applyAlignment="1" applyProtection="1">
      <alignment horizontal="left" vertical="center"/>
      <protection locked="0"/>
    </xf>
    <xf numFmtId="0" fontId="29" fillId="3" borderId="10" xfId="0" applyFont="1" applyFill="1" applyBorder="1" applyAlignment="1" applyProtection="1">
      <alignment horizontal="left" vertical="center"/>
      <protection locked="0"/>
    </xf>
    <xf numFmtId="0" fontId="29" fillId="3" borderId="11" xfId="0" applyFont="1" applyFill="1" applyBorder="1" applyAlignment="1" applyProtection="1">
      <alignment horizontal="left" vertical="center"/>
      <protection locked="0"/>
    </xf>
    <xf numFmtId="0" fontId="29" fillId="3" borderId="12" xfId="0" applyFont="1" applyFill="1" applyBorder="1" applyAlignment="1" applyProtection="1">
      <alignment horizontal="left" vertical="center"/>
      <protection locked="0"/>
    </xf>
    <xf numFmtId="0" fontId="29" fillId="3" borderId="13" xfId="0" applyFont="1" applyFill="1" applyBorder="1" applyAlignment="1" applyProtection="1">
      <alignment horizontal="left" vertical="center"/>
      <protection locked="0"/>
    </xf>
    <xf numFmtId="0" fontId="29" fillId="3" borderId="14" xfId="0" applyFont="1" applyFill="1" applyBorder="1" applyAlignment="1" applyProtection="1">
      <alignment horizontal="left" vertical="center"/>
      <protection locked="0"/>
    </xf>
    <xf numFmtId="165" fontId="30" fillId="0" borderId="8" xfId="0" quotePrefix="1" applyNumberFormat="1" applyFont="1" applyBorder="1" applyAlignment="1" applyProtection="1">
      <alignment horizontal="left" vertical="center" indent="1"/>
      <protection hidden="1"/>
    </xf>
    <xf numFmtId="165" fontId="30" fillId="0" borderId="17" xfId="0" quotePrefix="1" applyNumberFormat="1" applyFont="1" applyBorder="1" applyAlignment="1" applyProtection="1">
      <alignment horizontal="left" vertical="center" indent="1"/>
      <protection hidden="1"/>
    </xf>
    <xf numFmtId="165" fontId="30" fillId="0" borderId="18" xfId="0" quotePrefix="1" applyNumberFormat="1" applyFont="1" applyBorder="1" applyAlignment="1" applyProtection="1">
      <alignment horizontal="left" vertical="center" indent="1"/>
      <protection hidden="1"/>
    </xf>
    <xf numFmtId="0" fontId="12" fillId="0" borderId="0" xfId="0" applyFont="1" applyAlignment="1" applyProtection="1">
      <alignment horizontal="left" vertical="center" wrapText="1"/>
      <protection hidden="1"/>
    </xf>
    <xf numFmtId="0" fontId="2" fillId="23" borderId="8" xfId="0" applyFont="1" applyFill="1" applyBorder="1" applyAlignment="1" applyProtection="1">
      <alignment horizontal="left" vertical="top" wrapText="1"/>
      <protection hidden="1"/>
    </xf>
    <xf numFmtId="0" fontId="2" fillId="23" borderId="18" xfId="0" applyFont="1" applyFill="1" applyBorder="1" applyAlignment="1" applyProtection="1">
      <alignment horizontal="left" vertical="top" wrapText="1"/>
      <protection hidden="1"/>
    </xf>
    <xf numFmtId="0" fontId="0" fillId="22" borderId="21" xfId="0" quotePrefix="1" applyFill="1" applyBorder="1" applyAlignment="1" applyProtection="1">
      <alignment horizontal="left" vertical="top" wrapText="1"/>
      <protection hidden="1"/>
    </xf>
    <xf numFmtId="0" fontId="0" fillId="22" borderId="19" xfId="0" quotePrefix="1" applyFill="1" applyBorder="1" applyAlignment="1" applyProtection="1">
      <alignment horizontal="left" vertical="top" wrapText="1"/>
      <protection hidden="1"/>
    </xf>
    <xf numFmtId="0" fontId="15" fillId="3" borderId="19" xfId="0" applyFont="1" applyFill="1" applyBorder="1" applyAlignment="1" applyProtection="1">
      <alignment horizontal="left" vertical="top" wrapText="1"/>
      <protection locked="0"/>
    </xf>
    <xf numFmtId="0" fontId="14" fillId="16" borderId="7" xfId="0" applyFont="1" applyFill="1" applyBorder="1" applyAlignment="1" applyProtection="1">
      <alignment horizontal="left" vertical="center"/>
      <protection hidden="1"/>
    </xf>
    <xf numFmtId="0" fontId="0" fillId="11" borderId="2" xfId="0" applyFill="1" applyBorder="1" applyAlignment="1" applyProtection="1">
      <alignment horizontal="left" vertical="center" wrapText="1"/>
      <protection hidden="1"/>
    </xf>
    <xf numFmtId="0" fontId="7" fillId="11" borderId="3" xfId="0" applyFont="1" applyFill="1" applyBorder="1" applyAlignment="1" applyProtection="1">
      <alignment horizontal="left" wrapText="1"/>
      <protection hidden="1"/>
    </xf>
    <xf numFmtId="0" fontId="14" fillId="2" borderId="37" xfId="0" applyFont="1" applyFill="1" applyBorder="1" applyAlignment="1" applyProtection="1">
      <alignment horizontal="left" vertical="center" wrapText="1"/>
      <protection hidden="1"/>
    </xf>
    <xf numFmtId="0" fontId="14" fillId="2" borderId="2" xfId="0" applyFont="1" applyFill="1" applyBorder="1" applyAlignment="1" applyProtection="1">
      <alignment horizontal="left" vertical="center"/>
      <protection hidden="1"/>
    </xf>
    <xf numFmtId="0" fontId="7" fillId="0" borderId="3" xfId="0" applyFont="1" applyBorder="1" applyProtection="1">
      <protection hidden="1"/>
    </xf>
    <xf numFmtId="0" fontId="14" fillId="2" borderId="5" xfId="0" applyFont="1" applyFill="1" applyBorder="1" applyAlignment="1" applyProtection="1">
      <alignment horizontal="left" vertical="center"/>
      <protection hidden="1"/>
    </xf>
    <xf numFmtId="0" fontId="7" fillId="0" borderId="6" xfId="0" applyFont="1" applyBorder="1" applyProtection="1">
      <protection hidden="1"/>
    </xf>
    <xf numFmtId="0" fontId="73" fillId="31" borderId="67" xfId="0" applyFont="1" applyFill="1" applyBorder="1" applyAlignment="1">
      <alignment horizontal="left" vertical="top" wrapText="1"/>
    </xf>
    <xf numFmtId="0" fontId="73" fillId="31" borderId="68" xfId="0" applyFont="1" applyFill="1" applyBorder="1" applyAlignment="1">
      <alignment horizontal="left" vertical="top" wrapText="1"/>
    </xf>
    <xf numFmtId="0" fontId="73" fillId="31" borderId="63" xfId="0" applyFont="1" applyFill="1" applyBorder="1" applyAlignment="1">
      <alignment horizontal="left" vertical="top" wrapText="1"/>
    </xf>
    <xf numFmtId="0" fontId="73" fillId="31" borderId="48" xfId="0" applyFont="1" applyFill="1" applyBorder="1" applyAlignment="1">
      <alignment horizontal="left" vertical="top" wrapText="1"/>
    </xf>
    <xf numFmtId="0" fontId="73" fillId="31" borderId="49" xfId="0" applyFont="1" applyFill="1" applyBorder="1" applyAlignment="1">
      <alignment horizontal="left" vertical="top" wrapText="1"/>
    </xf>
    <xf numFmtId="0" fontId="73" fillId="31" borderId="50" xfId="0" applyFont="1" applyFill="1" applyBorder="1" applyAlignment="1">
      <alignment horizontal="left" vertical="top" wrapText="1"/>
    </xf>
    <xf numFmtId="0" fontId="73" fillId="31" borderId="53" xfId="0" applyFont="1" applyFill="1" applyBorder="1" applyAlignment="1">
      <alignment horizontal="left" vertical="top" wrapText="1"/>
    </xf>
    <xf numFmtId="0" fontId="73" fillId="31" borderId="54" xfId="0" applyFont="1" applyFill="1" applyBorder="1" applyAlignment="1">
      <alignment horizontal="left" vertical="top" wrapText="1"/>
    </xf>
    <xf numFmtId="0" fontId="73" fillId="31" borderId="55" xfId="0" applyFont="1" applyFill="1" applyBorder="1" applyAlignment="1">
      <alignment horizontal="left" vertical="top" wrapText="1"/>
    </xf>
    <xf numFmtId="0" fontId="69" fillId="29" borderId="0" xfId="0" applyFont="1" applyFill="1" applyAlignment="1">
      <alignment horizontal="left" vertical="center" wrapText="1"/>
    </xf>
    <xf numFmtId="0" fontId="69" fillId="29" borderId="0" xfId="0" applyFont="1" applyFill="1" applyAlignment="1">
      <alignment horizontal="left" wrapText="1"/>
    </xf>
    <xf numFmtId="0" fontId="73" fillId="31" borderId="65" xfId="0" applyFont="1" applyFill="1" applyBorder="1" applyAlignment="1">
      <alignment horizontal="left" vertical="top" wrapText="1"/>
    </xf>
    <xf numFmtId="0" fontId="73" fillId="31" borderId="64" xfId="0" applyFont="1" applyFill="1" applyBorder="1" applyAlignment="1">
      <alignment horizontal="left" vertical="top" wrapText="1"/>
    </xf>
    <xf numFmtId="0" fontId="62" fillId="0" borderId="0" xfId="0" quotePrefix="1" applyFont="1" applyAlignment="1" applyProtection="1">
      <alignment horizontal="left" vertical="top" wrapText="1"/>
      <protection hidden="1"/>
    </xf>
    <xf numFmtId="0" fontId="47" fillId="0" borderId="0" xfId="0" applyFont="1" applyProtection="1">
      <protection hidden="1"/>
    </xf>
  </cellXfs>
  <cellStyles count="2">
    <cellStyle name="Hyperlink" xfId="1" builtinId="8"/>
    <cellStyle name="Normal" xfId="0" builtinId="0"/>
  </cellStyles>
  <dxfs count="166">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FCE8B2"/>
          <bgColor rgb="FFFCE8B2"/>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FCE8B2"/>
          <bgColor rgb="FFFCE8B2"/>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FCE8B2"/>
          <bgColor rgb="FFFCE8B2"/>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ont>
        <b/>
        <i val="0"/>
        <color rgb="FFFF0000"/>
      </font>
      <fill>
        <patternFill patternType="gray0625">
          <fgColor rgb="FFFF0000"/>
          <bgColor rgb="FFFFFF00"/>
        </patternFill>
      </fill>
    </dxf>
    <dxf>
      <font>
        <color theme="0"/>
      </font>
    </dxf>
    <dxf>
      <font>
        <b/>
        <i val="0"/>
      </font>
    </dxf>
    <dxf>
      <font>
        <b/>
        <i val="0"/>
      </font>
    </dxf>
    <dxf>
      <font>
        <b/>
        <i val="0"/>
      </font>
    </dxf>
    <dxf>
      <font>
        <color theme="0"/>
      </font>
    </dxf>
    <dxf>
      <font>
        <color theme="0"/>
      </font>
    </dxf>
    <dxf>
      <font>
        <color rgb="FFFF0000"/>
      </font>
    </dxf>
    <dxf>
      <font>
        <b/>
        <i val="0"/>
        <color rgb="FFFF0000"/>
      </font>
    </dxf>
    <dxf>
      <fill>
        <patternFill>
          <bgColor rgb="FFFFFF00"/>
        </patternFill>
      </fill>
    </dxf>
    <dxf>
      <fill>
        <patternFill>
          <bgColor rgb="FFFF0000"/>
        </patternFill>
      </fill>
    </dxf>
    <dxf>
      <font>
        <color theme="0"/>
      </font>
    </dxf>
    <dxf>
      <fill>
        <patternFill>
          <bgColor rgb="FFFF0000"/>
        </patternFill>
      </fill>
    </dxf>
    <dxf>
      <fill>
        <patternFill>
          <bgColor rgb="FFFFFF00"/>
        </patternFill>
      </fill>
    </dxf>
    <dxf>
      <fill>
        <patternFill>
          <bgColor rgb="FF00B050"/>
        </patternFill>
      </fill>
    </dxf>
    <dxf>
      <fill>
        <patternFill>
          <bgColor rgb="FFFFFF00"/>
        </patternFill>
      </fill>
    </dxf>
    <dxf>
      <font>
        <color theme="0"/>
      </font>
      <fill>
        <patternFill patternType="none">
          <bgColor auto="1"/>
        </patternFill>
      </fill>
      <border>
        <left/>
        <right/>
        <top/>
        <bottom/>
        <vertical/>
        <horizontal/>
      </border>
    </dxf>
    <dxf>
      <font>
        <b/>
        <i val="0"/>
        <color rgb="FFFF0000"/>
      </font>
      <fill>
        <patternFill patternType="gray0625">
          <fgColor rgb="FFFF0000"/>
          <bgColor rgb="FFFFFF00"/>
        </patternFill>
      </fill>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FCE8B2"/>
          <bgColor rgb="FFFCE8B2"/>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ont>
        <b/>
        <i val="0"/>
        <color rgb="FFFF0000"/>
      </font>
      <fill>
        <patternFill patternType="gray0625">
          <fgColor rgb="FFFF0000"/>
          <bgColor rgb="FFFFFF00"/>
        </patternFill>
      </fill>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CE8B2"/>
          <bgColor rgb="FFFCE8B2"/>
        </patternFill>
      </fill>
      <border>
        <left style="thin">
          <color auto="1"/>
        </left>
        <right style="thin">
          <color auto="1"/>
        </right>
        <top style="thin">
          <color auto="1"/>
        </top>
        <bottom style="thin">
          <color auto="1"/>
        </bottom>
      </border>
    </dxf>
    <dxf>
      <font>
        <b/>
        <i val="0"/>
        <color rgb="FFFF0000"/>
      </font>
      <fill>
        <patternFill patternType="none">
          <bgColor auto="1"/>
        </patternFill>
      </fill>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FCE8B2"/>
          <bgColor rgb="FFFCE8B2"/>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FCE8B2"/>
          <bgColor rgb="FFFCE8B2"/>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bgColor rgb="FFF4C7C3"/>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FCE8B2"/>
          <bgColor rgb="FFFCE8B2"/>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FCE8B2"/>
          <bgColor rgb="FFFCE8B2"/>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FCE8B2"/>
          <bgColor rgb="FFFCE8B2"/>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FCE8B2"/>
          <bgColor rgb="FFFCE8B2"/>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bgColor rgb="FFB7E1CD"/>
        </patternFill>
      </fill>
      <border>
        <left style="thin">
          <color auto="1"/>
        </left>
        <right style="thin">
          <color auto="1"/>
        </right>
        <top style="thin">
          <color auto="1"/>
        </top>
        <bottom style="thin">
          <color auto="1"/>
        </bottom>
      </border>
    </dxf>
    <dxf>
      <fill>
        <patternFill>
          <bgColor rgb="FFB7E1CD"/>
        </patternFill>
      </fill>
      <border>
        <left style="thin">
          <color auto="1"/>
        </left>
        <right style="thin">
          <color auto="1"/>
        </right>
        <top style="thin">
          <color auto="1"/>
        </top>
        <bottom style="thin">
          <color auto="1"/>
        </bottom>
        <vertical/>
        <horizontal/>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FCE8B2"/>
          <bgColor rgb="FFFCE8B2"/>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FCE8B2"/>
          <bgColor rgb="FFF4C7C3"/>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bgColor rgb="FFF4C7C3"/>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bgColor rgb="FFF4C7C3"/>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FCE8B2"/>
          <bgColor rgb="FFFCE8B2"/>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FCE8B2"/>
          <bgColor rgb="FFFCE8B2"/>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FCE8B2"/>
          <bgColor rgb="FFFCE8B2"/>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bgColor rgb="FFF4C7C3"/>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FCE8B2"/>
          <bgColor rgb="FFFCE8B2"/>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FCE8B2"/>
          <bgColor rgb="FFFCE8B2"/>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FCE8B2"/>
          <bgColor rgb="FFFCE8B2"/>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FCE8B2"/>
          <bgColor rgb="FFFCE8B2"/>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FCE8B2"/>
          <bgColor rgb="FFFCE8B2"/>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ill>
        <patternFill patternType="solid">
          <fgColor rgb="FFFCE8B2"/>
          <bgColor rgb="FFFCE8B2"/>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B7E1CD"/>
          <bgColor rgb="FFB7E1CD"/>
        </patternFill>
      </fill>
      <border>
        <left style="thin">
          <color auto="1"/>
        </left>
        <right style="thin">
          <color auto="1"/>
        </right>
        <top style="thin">
          <color auto="1"/>
        </top>
        <bottom style="thin">
          <color auto="1"/>
        </bottom>
      </border>
    </dxf>
    <dxf>
      <fill>
        <patternFill patternType="solid">
          <fgColor rgb="FFF4C7C3"/>
          <bgColor rgb="FFF4C7C3"/>
        </patternFill>
      </fill>
      <border>
        <left style="thin">
          <color auto="1"/>
        </left>
        <right style="thin">
          <color auto="1"/>
        </right>
        <top style="thin">
          <color auto="1"/>
        </top>
        <bottom style="thin">
          <color auto="1"/>
        </bottom>
      </border>
    </dxf>
    <dxf>
      <font>
        <b/>
        <i val="0"/>
        <color rgb="FFFF0000"/>
      </font>
      <fill>
        <patternFill patternType="gray0625">
          <fgColor rgb="FFFF0000"/>
          <bgColor rgb="FFFFFF00"/>
        </patternFill>
      </fill>
    </dxf>
    <dxf>
      <font>
        <b/>
        <i val="0"/>
        <color rgb="FFFF0000"/>
      </font>
      <fill>
        <patternFill patternType="gray0625">
          <fgColor rgb="FFFF0000"/>
          <bgColor rgb="FFFFFF00"/>
        </patternFill>
      </fill>
    </dxf>
  </dxfs>
  <tableStyles count="0" defaultTableStyle="TableStyleMedium2" defaultPivotStyle="PivotStyleLight16"/>
  <colors>
    <mruColors>
      <color rgb="FFE7D7CF"/>
      <color rgb="FFA16C51"/>
      <color rgb="FFDDC3B1"/>
      <color rgb="FF0033CC"/>
      <color rgb="FF00CC00"/>
      <color rgb="FFB7E1CD"/>
      <color rgb="FFF4C7C3"/>
      <color rgb="FFE1E1FF"/>
      <color rgb="FFD5D5FF"/>
      <color rgb="FFFCFA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hyperlink" Target="http://foodfraudadvisors.com/licence-rules2/" TargetMode="External"/><Relationship Id="rId2" Type="http://schemas.openxmlformats.org/officeDocument/2006/relationships/hyperlink" Target="#Instructions!A1"/><Relationship Id="rId1" Type="http://schemas.openxmlformats.org/officeDocument/2006/relationships/image" Target="../media/image1.jpg"/><Relationship Id="rId5" Type="http://schemas.openxmlformats.org/officeDocument/2006/relationships/hyperlink" Target="#Definitions!A1"/><Relationship Id="rId4" Type="http://schemas.openxmlformats.org/officeDocument/2006/relationships/hyperlink" Target="http://www.foodfraudadvisors.com/vulnerability-assessment-faq5/" TargetMode="External"/></Relationships>
</file>

<file path=xl/drawings/_rels/drawing10.xml.rels><?xml version="1.0" encoding="UTF-8" standalone="yes"?>
<Relationships xmlns="http://schemas.openxmlformats.org/package/2006/relationships"><Relationship Id="rId1" Type="http://schemas.openxmlformats.org/officeDocument/2006/relationships/image" Target="../media/image14.emf"/></Relationships>
</file>

<file path=xl/drawings/_rels/drawing12.xml.rels><?xml version="1.0" encoding="UTF-8" standalone="yes"?>
<Relationships xmlns="http://schemas.openxmlformats.org/package/2006/relationships"><Relationship Id="rId1" Type="http://schemas.openxmlformats.org/officeDocument/2006/relationships/hyperlink" Target="#Introduction!A1"/></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1" Type="http://schemas.openxmlformats.org/officeDocument/2006/relationships/image" Target="../media/image7.emf"/></Relationships>
</file>

<file path=xl/drawings/_rels/drawing7.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hyperlink" Target="#'Likelihood worksheet'!A1"/><Relationship Id="rId7" Type="http://schemas.openxmlformats.org/officeDocument/2006/relationships/hyperlink" Target="#Instructions!A10"/><Relationship Id="rId2" Type="http://schemas.openxmlformats.org/officeDocument/2006/relationships/image" Target="../media/image9.jpeg"/><Relationship Id="rId1" Type="http://schemas.openxmlformats.org/officeDocument/2006/relationships/hyperlink" Target="http://www.facebook.com/foodfraudadvice" TargetMode="External"/><Relationship Id="rId6" Type="http://schemas.openxmlformats.org/officeDocument/2006/relationships/hyperlink" Target="#'Consequences worksheet'!A1"/><Relationship Id="rId5" Type="http://schemas.openxmlformats.org/officeDocument/2006/relationships/hyperlink" Target="#'Scope worksheet'!A1"/><Relationship Id="rId10" Type="http://schemas.openxmlformats.org/officeDocument/2006/relationships/image" Target="../media/image11.png"/><Relationship Id="rId4" Type="http://schemas.openxmlformats.org/officeDocument/2006/relationships/hyperlink" Target="#Introduction!A1"/><Relationship Id="rId9" Type="http://schemas.openxmlformats.org/officeDocument/2006/relationships/hyperlink" Target="#Definitions!A9"/></Relationships>
</file>

<file path=xl/drawings/_rels/vmlDrawing1.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18</xdr:col>
      <xdr:colOff>1103587</xdr:colOff>
      <xdr:row>57</xdr:row>
      <xdr:rowOff>26276</xdr:rowOff>
    </xdr:to>
    <xdr:sp macro="" textlink="">
      <xdr:nvSpPr>
        <xdr:cNvPr id="27" name="Rectangle 26">
          <a:extLst>
            <a:ext uri="{FF2B5EF4-FFF2-40B4-BE49-F238E27FC236}">
              <a16:creationId xmlns:a16="http://schemas.microsoft.com/office/drawing/2014/main" id="{2E42BAE5-F99C-477E-9DCB-1BB0001EEB8B}"/>
            </a:ext>
          </a:extLst>
        </xdr:cNvPr>
        <xdr:cNvSpPr/>
      </xdr:nvSpPr>
      <xdr:spPr>
        <a:xfrm>
          <a:off x="0" y="0"/>
          <a:ext cx="15017707" cy="13757516"/>
        </a:xfrm>
        <a:prstGeom prst="rect">
          <a:avLst/>
        </a:prstGeom>
        <a:blipFill dpi="0" rotWithShape="1">
          <a:blip xmlns:r="http://schemas.openxmlformats.org/officeDocument/2006/relationships" r:embed="rId1">
            <a:extLst>
              <a:ext uri="{28A0092B-C50C-407E-A947-70E740481C1C}">
                <a14:useLocalDpi xmlns:a14="http://schemas.microsoft.com/office/drawing/2010/main"/>
              </a:ext>
            </a:extLst>
          </a:blip>
          <a:srcRect/>
          <a:stretch>
            <a:fillRect/>
          </a:stretch>
        </a:blip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0</xdr:colOff>
      <xdr:row>8</xdr:row>
      <xdr:rowOff>57151</xdr:rowOff>
    </xdr:from>
    <xdr:to>
      <xdr:col>15</xdr:col>
      <xdr:colOff>1117600</xdr:colOff>
      <xdr:row>21</xdr:row>
      <xdr:rowOff>444500</xdr:rowOff>
    </xdr:to>
    <xdr:sp macro="" textlink="">
      <xdr:nvSpPr>
        <xdr:cNvPr id="2" name="Shape 2">
          <a:extLst>
            <a:ext uri="{FF2B5EF4-FFF2-40B4-BE49-F238E27FC236}">
              <a16:creationId xmlns:a16="http://schemas.microsoft.com/office/drawing/2014/main" id="{00000000-0008-0000-0000-000002000000}"/>
            </a:ext>
          </a:extLst>
        </xdr:cNvPr>
        <xdr:cNvSpPr txBox="1"/>
      </xdr:nvSpPr>
      <xdr:spPr>
        <a:xfrm>
          <a:off x="484188" y="1858964"/>
          <a:ext cx="10983912" cy="3895724"/>
        </a:xfrm>
        <a:prstGeom prst="rect">
          <a:avLst/>
        </a:prstGeom>
        <a:solidFill>
          <a:schemeClr val="bg1"/>
        </a:solidFill>
        <a:ln w="9525" cap="flat" cmpd="sng">
          <a:solidFill>
            <a:srgbClr val="BABABA"/>
          </a:solidFill>
          <a:prstDash val="solid"/>
          <a:round/>
          <a:headEnd type="none" w="med" len="med"/>
          <a:tailEnd type="none" w="med" len="med"/>
        </a:ln>
      </xdr:spPr>
      <xdr:txBody>
        <a:bodyPr lIns="91425" tIns="45700" rIns="91425" bIns="45700" anchor="t" anchorCtr="0">
          <a:noAutofit/>
        </a:bodyPr>
        <a:lstStyle/>
        <a:p>
          <a:pPr marL="0" marR="0" lvl="0" indent="0" algn="l" rtl="0">
            <a:spcBef>
              <a:spcPts val="0"/>
            </a:spcBef>
            <a:buClr>
              <a:srgbClr val="00B050"/>
            </a:buClr>
            <a:buSzPct val="25000"/>
            <a:buFont typeface="Calibri"/>
            <a:buNone/>
          </a:pPr>
          <a:r>
            <a:rPr lang="en-US" sz="1200" b="1" i="0" u="none" strike="noStrike" cap="none" baseline="0">
              <a:solidFill>
                <a:srgbClr val="00B050"/>
              </a:solidFill>
              <a:latin typeface="Calibri"/>
              <a:ea typeface="Calibri"/>
              <a:cs typeface="Calibri"/>
              <a:sym typeface="Calibri"/>
            </a:rPr>
            <a:t>About:</a:t>
          </a:r>
        </a:p>
        <a:p>
          <a:pPr marL="0" marR="0" lvl="0" indent="0" algn="l" rtl="0">
            <a:spcBef>
              <a:spcPts val="0"/>
            </a:spcBef>
            <a:buClr>
              <a:schemeClr val="dk1"/>
            </a:buClr>
            <a:buSzPct val="25000"/>
            <a:buFont typeface="Calibri"/>
            <a:buNone/>
          </a:pPr>
          <a:r>
            <a:rPr lang="en-US" sz="1200" b="0" i="0" u="none" strike="noStrike" cap="none" baseline="0">
              <a:solidFill>
                <a:schemeClr val="dk1"/>
              </a:solidFill>
              <a:latin typeface="Calibri"/>
              <a:ea typeface="Calibri"/>
              <a:cs typeface="Calibri"/>
              <a:sym typeface="Calibri"/>
            </a:rPr>
            <a:t>This spreadsheet is a tool that is designed to help you, a food business, perform and document an assessment of your products, ingredients and raw materials for vulnerability to food fraud.</a:t>
          </a:r>
          <a:endParaRPr lang="en-US" sz="1200" b="0" i="0" u="none" strike="noStrike" cap="none" baseline="0">
            <a:solidFill>
              <a:srgbClr val="FF0000"/>
            </a:solidFill>
            <a:latin typeface="Calibri"/>
            <a:ea typeface="Calibri"/>
            <a:cs typeface="Calibri"/>
            <a:sym typeface="Calibri"/>
          </a:endParaRPr>
        </a:p>
        <a:p>
          <a:pPr marL="0" marR="0" lvl="0" indent="0" algn="l" rtl="0">
            <a:spcBef>
              <a:spcPts val="0"/>
            </a:spcBef>
            <a:buClr>
              <a:schemeClr val="dk1"/>
            </a:buClr>
            <a:buSzPct val="25000"/>
            <a:buFont typeface="Calibri"/>
            <a:buNone/>
          </a:pPr>
          <a:endParaRPr lang="en-US" sz="1200" b="0" i="0" u="none" strike="noStrike" cap="none" baseline="0">
            <a:solidFill>
              <a:schemeClr val="dk1"/>
            </a:solidFill>
            <a:latin typeface="Calibri"/>
            <a:ea typeface="Calibri"/>
            <a:cs typeface="Calibri"/>
            <a:sym typeface="Calibri"/>
          </a:endParaRPr>
        </a:p>
        <a:p>
          <a:pPr marL="0" marR="0" lvl="0" indent="0" algn="l" rtl="0">
            <a:spcBef>
              <a:spcPts val="0"/>
            </a:spcBef>
            <a:buClr>
              <a:schemeClr val="dk1"/>
            </a:buClr>
            <a:buSzPct val="25000"/>
            <a:buFont typeface="Calibri"/>
            <a:buNone/>
          </a:pPr>
          <a:r>
            <a:rPr lang="en-US" sz="1200" b="0" i="0" u="none" strike="noStrike" cap="none" baseline="0">
              <a:solidFill>
                <a:schemeClr val="dk1"/>
              </a:solidFill>
              <a:latin typeface="Calibri"/>
              <a:ea typeface="Calibri"/>
              <a:cs typeface="Calibri"/>
              <a:sym typeface="Calibri"/>
            </a:rPr>
            <a:t>A vulnerability assessment is similar to a conventional risk assessment, in that it considers the likelihood that food fraud (the risk) will occur and the severity of the consequences if it does occur.  The likelihood and consequences are plotted on a risk matrix to determine the overall risk.  For a vulnerability assessment the result is an estimate of the vulnerability of the material to food fraud.  </a:t>
          </a:r>
        </a:p>
        <a:p>
          <a:pPr marL="0" marR="0" lvl="0" indent="0" algn="l" rtl="0">
            <a:spcBef>
              <a:spcPts val="0"/>
            </a:spcBef>
            <a:buClr>
              <a:schemeClr val="dk1"/>
            </a:buClr>
            <a:buSzPct val="25000"/>
            <a:buFont typeface="Calibri"/>
            <a:buNone/>
          </a:pPr>
          <a:endParaRPr lang="en-US" sz="1200" b="0" i="0" u="none" strike="noStrike" cap="none" baseline="0">
            <a:solidFill>
              <a:schemeClr val="dk1"/>
            </a:solidFill>
            <a:latin typeface="Calibri"/>
            <a:ea typeface="Calibri"/>
            <a:cs typeface="Calibri"/>
            <a:sym typeface="Calibri"/>
          </a:endParaRPr>
        </a:p>
        <a:p>
          <a:pPr marL="0" marR="0" lvl="0" indent="0" algn="l" rtl="0">
            <a:spcBef>
              <a:spcPts val="0"/>
            </a:spcBef>
            <a:buClr>
              <a:schemeClr val="dk1"/>
            </a:buClr>
            <a:buSzPct val="25000"/>
            <a:buFont typeface="Calibri"/>
            <a:buNone/>
          </a:pPr>
          <a:r>
            <a:rPr lang="en-US" sz="1200" b="0" i="0" u="none" strike="noStrike" cap="none" baseline="0">
              <a:solidFill>
                <a:schemeClr val="dk1"/>
              </a:solidFill>
              <a:latin typeface="Calibri"/>
              <a:ea typeface="Calibri"/>
              <a:cs typeface="Calibri"/>
              <a:sym typeface="Calibri"/>
            </a:rPr>
            <a:t>Initial screening assessments and full vulnerability assessments can be conducted with this tool.</a:t>
          </a:r>
        </a:p>
        <a:p>
          <a:pPr marL="0" marR="0" lvl="0" indent="0" algn="l" rtl="0">
            <a:spcBef>
              <a:spcPts val="0"/>
            </a:spcBef>
            <a:buClr>
              <a:schemeClr val="dk1"/>
            </a:buClr>
            <a:buSzPct val="25000"/>
            <a:buFont typeface="Calibri"/>
            <a:buNone/>
          </a:pPr>
          <a:endParaRPr lang="en-US" sz="1200" b="0" i="0" u="none" strike="noStrike" cap="none" baseline="0">
            <a:solidFill>
              <a:schemeClr val="dk1"/>
            </a:solidFill>
            <a:latin typeface="Calibri"/>
            <a:ea typeface="Calibri"/>
            <a:cs typeface="Calibri"/>
            <a:sym typeface="Calibri"/>
          </a:endParaRPr>
        </a:p>
        <a:p>
          <a:pPr marL="0" marR="0" lvl="0" indent="0" algn="l" rtl="0">
            <a:spcBef>
              <a:spcPts val="0"/>
            </a:spcBef>
            <a:buClr>
              <a:srgbClr val="00B050"/>
            </a:buClr>
            <a:buSzPct val="25000"/>
            <a:buFont typeface="Calibri"/>
            <a:buNone/>
          </a:pPr>
          <a:r>
            <a:rPr lang="en-US" sz="1200" b="1" i="0" u="none" strike="noStrike" cap="none" baseline="0">
              <a:solidFill>
                <a:srgbClr val="00B050"/>
              </a:solidFill>
              <a:latin typeface="Calibri"/>
              <a:ea typeface="Calibri"/>
              <a:cs typeface="Calibri"/>
              <a:sym typeface="Calibri"/>
            </a:rPr>
            <a:t>What does it do:</a:t>
          </a:r>
        </a:p>
        <a:p>
          <a:pPr marL="0" marR="0" lvl="0" indent="0" algn="l" defTabSz="914400" rtl="0" eaLnBrk="1" fontAlgn="auto" latinLnBrk="0" hangingPunct="1">
            <a:lnSpc>
              <a:spcPct val="100000"/>
            </a:lnSpc>
            <a:spcBef>
              <a:spcPts val="0"/>
            </a:spcBef>
            <a:spcAft>
              <a:spcPts val="0"/>
            </a:spcAft>
            <a:buClr>
              <a:schemeClr val="dk1"/>
            </a:buClr>
            <a:buSzPct val="25000"/>
            <a:buFont typeface="Calibri"/>
            <a:buNone/>
            <a:tabLst/>
            <a:defRPr/>
          </a:pPr>
          <a:r>
            <a:rPr lang="en-US" sz="1200" b="0" i="0" u="none" strike="noStrike" cap="none" baseline="0">
              <a:solidFill>
                <a:schemeClr val="dk1"/>
              </a:solidFill>
              <a:latin typeface="Calibri"/>
              <a:ea typeface="Calibri"/>
              <a:cs typeface="Calibri"/>
              <a:sym typeface="Calibri"/>
            </a:rPr>
            <a:t>The spreadsheet prompts the user to answer a series of questions about a food ingredient, raw material or product or a group of materials or products.  Users can also add comments to support the assessment.  The spreadsheet takes the answers and comments and automatically populates a printable risk assessment document containing scope, vulnerability rating ,risk matrix and a complete description of all characteristics that were considered during the vulnerability assessment.</a:t>
          </a:r>
        </a:p>
        <a:p>
          <a:pPr marL="0" marR="0" lvl="0" indent="0" algn="l" defTabSz="914400" rtl="0" eaLnBrk="1" fontAlgn="auto" latinLnBrk="0" hangingPunct="1">
            <a:lnSpc>
              <a:spcPct val="100000"/>
            </a:lnSpc>
            <a:spcBef>
              <a:spcPts val="0"/>
            </a:spcBef>
            <a:spcAft>
              <a:spcPts val="0"/>
            </a:spcAft>
            <a:buClr>
              <a:schemeClr val="dk1"/>
            </a:buClr>
            <a:buSzPct val="25000"/>
            <a:buFont typeface="Calibri"/>
            <a:buNone/>
            <a:tabLst/>
            <a:defRPr/>
          </a:pPr>
          <a:endParaRPr lang="en-US" sz="1200" b="0" i="0" baseline="0">
            <a:effectLst/>
            <a:latin typeface="+mn-lt"/>
            <a:ea typeface="+mn-ea"/>
            <a:cs typeface="+mn-cs"/>
          </a:endParaRPr>
        </a:p>
        <a:p>
          <a:pPr marL="0" marR="0" lvl="0" indent="0" algn="l" rtl="0">
            <a:spcBef>
              <a:spcPts val="0"/>
            </a:spcBef>
            <a:buClr>
              <a:srgbClr val="00B050"/>
            </a:buClr>
            <a:buSzPct val="25000"/>
            <a:buFont typeface="Calibri"/>
            <a:buNone/>
          </a:pPr>
          <a:r>
            <a:rPr lang="en-US" sz="1200" b="1" i="0" u="none" strike="noStrike" cap="none" baseline="0">
              <a:solidFill>
                <a:srgbClr val="00B050"/>
              </a:solidFill>
              <a:latin typeface="Calibri"/>
              <a:ea typeface="Calibri"/>
              <a:cs typeface="Calibri"/>
              <a:sym typeface="Calibri"/>
            </a:rPr>
            <a:t>What it does not do:</a:t>
          </a:r>
        </a:p>
        <a:p>
          <a:pPr marL="0" marR="0" lvl="0" indent="0" algn="l" defTabSz="914400" rtl="0" eaLnBrk="1" fontAlgn="auto" latinLnBrk="0" hangingPunct="1">
            <a:lnSpc>
              <a:spcPct val="100000"/>
            </a:lnSpc>
            <a:spcBef>
              <a:spcPts val="0"/>
            </a:spcBef>
            <a:spcAft>
              <a:spcPts val="0"/>
            </a:spcAft>
            <a:buClr>
              <a:schemeClr val="dk1"/>
            </a:buClr>
            <a:buSzPct val="25000"/>
            <a:buFont typeface="Calibri"/>
            <a:buNone/>
            <a:tabLst/>
            <a:defRPr/>
          </a:pPr>
          <a:r>
            <a:rPr lang="en-US" sz="1200" b="0" i="0" baseline="0">
              <a:effectLst/>
              <a:latin typeface="+mn-lt"/>
              <a:ea typeface="+mn-ea"/>
              <a:cs typeface="+mn-cs"/>
            </a:rPr>
            <a:t>The tool is designed to address vulnerabilities within a food business' supply  chain.  It does not address the threat of fraudulent activities occurring within the business performing the assessment, which means not within the business' own processes or facility(s).</a:t>
          </a:r>
          <a:endParaRPr lang="en-AU" sz="1200">
            <a:effectLst/>
            <a:latin typeface="+mn-lt"/>
          </a:endParaRPr>
        </a:p>
        <a:p>
          <a:pPr marL="0" marR="0" lvl="0" indent="0" algn="l" rtl="0">
            <a:spcBef>
              <a:spcPts val="0"/>
            </a:spcBef>
            <a:buClr>
              <a:schemeClr val="dk1"/>
            </a:buClr>
            <a:buSzPct val="25000"/>
            <a:buFont typeface="Calibri"/>
            <a:buNone/>
          </a:pPr>
          <a:r>
            <a:rPr lang="en-US" sz="1200" b="1" i="0" u="none" strike="noStrike" cap="none" baseline="0">
              <a:solidFill>
                <a:schemeClr val="dk1"/>
              </a:solidFill>
              <a:latin typeface="+mn-lt"/>
              <a:ea typeface="Calibri"/>
              <a:cs typeface="Calibri"/>
              <a:sym typeface="Calibri"/>
            </a:rPr>
            <a:t>It does not replace the judgement of an expert person, </a:t>
          </a:r>
          <a:r>
            <a:rPr lang="en-US" sz="1200" b="0" i="0" u="none" strike="noStrike" cap="none" baseline="0">
              <a:solidFill>
                <a:schemeClr val="dk1"/>
              </a:solidFill>
              <a:latin typeface="+mn-lt"/>
              <a:ea typeface="Calibri"/>
              <a:cs typeface="Calibri"/>
              <a:sym typeface="Calibri"/>
            </a:rPr>
            <a:t>who should review all results and make the final decisions regarding likelihood of occurrence and the consequences.  Calculated results can be over-ridden by the user.  </a:t>
          </a:r>
        </a:p>
      </xdr:txBody>
    </xdr:sp>
    <xdr:clientData/>
  </xdr:twoCellAnchor>
  <xdr:twoCellAnchor>
    <xdr:from>
      <xdr:col>1</xdr:col>
      <xdr:colOff>1587</xdr:colOff>
      <xdr:row>33</xdr:row>
      <xdr:rowOff>31433</xdr:rowOff>
    </xdr:from>
    <xdr:to>
      <xdr:col>15</xdr:col>
      <xdr:colOff>1134533</xdr:colOff>
      <xdr:row>41</xdr:row>
      <xdr:rowOff>31750</xdr:rowOff>
    </xdr:to>
    <xdr:sp macro="" textlink="">
      <xdr:nvSpPr>
        <xdr:cNvPr id="4" name="Shape 4">
          <a:extLst>
            <a:ext uri="{FF2B5EF4-FFF2-40B4-BE49-F238E27FC236}">
              <a16:creationId xmlns:a16="http://schemas.microsoft.com/office/drawing/2014/main" id="{00000000-0008-0000-0000-000004000000}"/>
            </a:ext>
          </a:extLst>
        </xdr:cNvPr>
        <xdr:cNvSpPr txBox="1"/>
      </xdr:nvSpPr>
      <xdr:spPr>
        <a:xfrm>
          <a:off x="485775" y="9477058"/>
          <a:ext cx="10999258" cy="1270317"/>
        </a:xfrm>
        <a:prstGeom prst="rect">
          <a:avLst/>
        </a:prstGeom>
        <a:solidFill>
          <a:schemeClr val="lt1"/>
        </a:solidFill>
        <a:ln w="9525" cap="flat" cmpd="sng">
          <a:solidFill>
            <a:srgbClr val="BABABA"/>
          </a:solidFill>
          <a:prstDash val="solid"/>
          <a:round/>
          <a:headEnd type="none" w="med" len="med"/>
          <a:tailEnd type="none" w="med" len="med"/>
        </a:ln>
      </xdr:spPr>
      <xdr:txBody>
        <a:bodyPr lIns="91425" tIns="45700" rIns="91425" bIns="45700" anchor="t" anchorCtr="0">
          <a:noAutofit/>
        </a:bodyPr>
        <a:lstStyle/>
        <a:p>
          <a:pPr marL="0" marR="0" lvl="0" indent="0" algn="l" rtl="0">
            <a:spcBef>
              <a:spcPts val="0"/>
            </a:spcBef>
            <a:buClr>
              <a:srgbClr val="00B050"/>
            </a:buClr>
            <a:buSzPct val="25000"/>
            <a:buFont typeface="Calibri"/>
            <a:buNone/>
          </a:pPr>
          <a:r>
            <a:rPr lang="en-US" sz="1200" b="1" i="0" u="none" strike="noStrike" cap="none" baseline="0">
              <a:solidFill>
                <a:srgbClr val="00B050"/>
              </a:solidFill>
              <a:latin typeface="+mn-lt"/>
              <a:ea typeface="Calibri"/>
              <a:cs typeface="Calibri"/>
              <a:sym typeface="Calibri"/>
            </a:rPr>
            <a:t>The fine print:</a:t>
          </a:r>
        </a:p>
        <a:p>
          <a:pPr marL="0" marR="0" lvl="0" indent="0" algn="l" rtl="0">
            <a:lnSpc>
              <a:spcPct val="100000"/>
            </a:lnSpc>
            <a:spcBef>
              <a:spcPts val="0"/>
            </a:spcBef>
            <a:spcAft>
              <a:spcPts val="0"/>
            </a:spcAft>
            <a:buClr>
              <a:schemeClr val="dk1"/>
            </a:buClr>
            <a:buSzPct val="25000"/>
            <a:buFont typeface="Calibri"/>
            <a:buNone/>
          </a:pPr>
          <a:r>
            <a:rPr lang="en-US" sz="1200" b="0" i="0" u="none" strike="noStrike" cap="none" baseline="0">
              <a:solidFill>
                <a:schemeClr val="dk1"/>
              </a:solidFill>
              <a:latin typeface="+mn-lt"/>
              <a:ea typeface="Calibri"/>
              <a:cs typeface="Calibri"/>
              <a:sym typeface="Calibri"/>
            </a:rPr>
            <a:t>While all care has been taken by the author, not all vulnerabilities will be identified by this spreadsheet.  A material group that is identified by the </a:t>
          </a:r>
          <a:r>
            <a:rPr lang="en-US" sz="1200" b="0" i="1" u="none" strike="noStrike" cap="none" baseline="0">
              <a:solidFill>
                <a:schemeClr val="dk1"/>
              </a:solidFill>
              <a:latin typeface="+mn-lt"/>
              <a:ea typeface="Calibri"/>
              <a:cs typeface="Calibri"/>
              <a:sym typeface="Calibri"/>
            </a:rPr>
            <a:t>Vulnerability Assessment Tool</a:t>
          </a:r>
          <a:r>
            <a:rPr lang="en-US" sz="1200" b="0" i="0" u="none" strike="noStrike" cap="none" baseline="0">
              <a:solidFill>
                <a:schemeClr val="dk1"/>
              </a:solidFill>
              <a:latin typeface="+mn-lt"/>
              <a:ea typeface="Calibri"/>
              <a:cs typeface="Calibri"/>
              <a:sym typeface="Calibri"/>
            </a:rPr>
            <a:t> as being low risk may nevertheless be </a:t>
          </a:r>
          <a:r>
            <a:rPr lang="en-US" sz="1200" b="0" i="0" u="none" strike="noStrike" cap="none" baseline="0">
              <a:solidFill>
                <a:sysClr val="windowText" lastClr="000000"/>
              </a:solidFill>
              <a:latin typeface="+mn-lt"/>
              <a:ea typeface="Calibri"/>
              <a:cs typeface="Calibri"/>
              <a:sym typeface="Calibri"/>
            </a:rPr>
            <a:t>affected by food fraud as well </a:t>
          </a:r>
          <a:r>
            <a:rPr lang="en-US" sz="1200" b="0" i="0" u="none" strike="noStrike" cap="none" baseline="0">
              <a:solidFill>
                <a:schemeClr val="dk1"/>
              </a:solidFill>
              <a:latin typeface="+mn-lt"/>
              <a:ea typeface="Calibri"/>
              <a:cs typeface="Calibri"/>
              <a:sym typeface="Calibri"/>
            </a:rPr>
            <a:t>as other threats to food safety and integrity.</a:t>
          </a:r>
        </a:p>
        <a:p>
          <a:pPr marL="0" marR="0" lvl="0" indent="0" algn="l" rtl="0">
            <a:lnSpc>
              <a:spcPct val="100000"/>
            </a:lnSpc>
            <a:spcBef>
              <a:spcPts val="0"/>
            </a:spcBef>
            <a:spcAft>
              <a:spcPts val="0"/>
            </a:spcAft>
            <a:buClr>
              <a:schemeClr val="dk1"/>
            </a:buClr>
            <a:buSzPct val="25000"/>
            <a:buFont typeface="Calibri"/>
            <a:buNone/>
          </a:pPr>
          <a:r>
            <a:rPr lang="en-US" sz="1200" b="0" i="0" u="none" strike="noStrike" cap="none" baseline="0">
              <a:solidFill>
                <a:schemeClr val="dk1"/>
              </a:solidFill>
              <a:latin typeface="+mn-lt"/>
              <a:ea typeface="Calibri"/>
              <a:cs typeface="Calibri"/>
              <a:sym typeface="Calibri"/>
            </a:rPr>
            <a:t>  </a:t>
          </a:r>
        </a:p>
        <a:p>
          <a:pPr marL="0" marR="0" lvl="0" indent="0" algn="l" defTabSz="914400" rtl="0" eaLnBrk="1" fontAlgn="auto" latinLnBrk="0" hangingPunct="1">
            <a:lnSpc>
              <a:spcPct val="100000"/>
            </a:lnSpc>
            <a:spcBef>
              <a:spcPts val="0"/>
            </a:spcBef>
            <a:spcAft>
              <a:spcPts val="0"/>
            </a:spcAft>
            <a:buClr>
              <a:schemeClr val="dk1"/>
            </a:buClr>
            <a:buSzPct val="25000"/>
            <a:buFont typeface="Calibri"/>
            <a:buNone/>
            <a:tabLst/>
            <a:defRPr/>
          </a:pPr>
          <a:r>
            <a:rPr lang="en-US" sz="1200" b="0" i="0" baseline="0">
              <a:effectLst/>
              <a:latin typeface="+mn-lt"/>
              <a:ea typeface="+mn-ea"/>
              <a:cs typeface="+mn-cs"/>
            </a:rPr>
            <a:t>The author and publisher give no assurance whatsoever that the content and/or documents generated with this tool will meet the requirements of any management system standard, regulatory standard, code of practice, auditing system or any auditor.</a:t>
          </a:r>
          <a:endParaRPr lang="en-AU" sz="1200">
            <a:effectLst/>
          </a:endParaRPr>
        </a:p>
        <a:p>
          <a:pPr marL="0" marR="0" lvl="0" indent="0" algn="l" rtl="0">
            <a:spcBef>
              <a:spcPts val="0"/>
            </a:spcBef>
            <a:buFont typeface="Arial"/>
            <a:buNone/>
          </a:pPr>
          <a:endParaRPr sz="1200" b="0" i="0" u="none" strike="noStrike" cap="none" baseline="0">
            <a:latin typeface="+mn-lt"/>
          </a:endParaRPr>
        </a:p>
      </xdr:txBody>
    </xdr:sp>
    <xdr:clientData/>
  </xdr:twoCellAnchor>
  <xdr:twoCellAnchor>
    <xdr:from>
      <xdr:col>1</xdr:col>
      <xdr:colOff>9524</xdr:colOff>
      <xdr:row>44</xdr:row>
      <xdr:rowOff>49532</xdr:rowOff>
    </xdr:from>
    <xdr:to>
      <xdr:col>15</xdr:col>
      <xdr:colOff>1168400</xdr:colOff>
      <xdr:row>50</xdr:row>
      <xdr:rowOff>65691</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495627" y="11045980"/>
          <a:ext cx="10959773" cy="9620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sz="1200" b="1" i="0" baseline="0">
              <a:solidFill>
                <a:srgbClr val="00B050"/>
              </a:solidFill>
              <a:effectLst/>
              <a:latin typeface="+mn-lt"/>
              <a:ea typeface="+mn-ea"/>
              <a:cs typeface="+mn-cs"/>
            </a:rPr>
            <a:t>Licence agreement:</a:t>
          </a:r>
          <a:endParaRPr lang="en-AU" sz="1200" b="1">
            <a:solidFill>
              <a:srgbClr val="00B050"/>
            </a:solidFill>
            <a:effectLst/>
          </a:endParaRPr>
        </a:p>
        <a:p>
          <a:pPr rtl="0"/>
          <a:r>
            <a:rPr lang="en-US" sz="1200" b="0" i="0" baseline="0">
              <a:solidFill>
                <a:schemeClr val="dk1"/>
              </a:solidFill>
              <a:effectLst/>
              <a:latin typeface="+mn-lt"/>
              <a:ea typeface="+mn-ea"/>
              <a:cs typeface="+mn-cs"/>
            </a:rPr>
            <a:t>You may make as many copies of this spreadsheet as you need for ONE food business in one manufacturing location.  If you work for more than one food business, for example as a consultant, please purchase a separate licence for each food business.  If you are using this for research or educational purposes please  acknowledge the authors Food Fraud Advisors 2019. </a:t>
          </a:r>
          <a:endParaRPr lang="en-AU" sz="1200">
            <a:effectLst/>
          </a:endParaRPr>
        </a:p>
        <a:p>
          <a:endParaRPr lang="en-AU" sz="1100"/>
        </a:p>
      </xdr:txBody>
    </xdr:sp>
    <xdr:clientData/>
  </xdr:twoCellAnchor>
  <xdr:twoCellAnchor>
    <xdr:from>
      <xdr:col>10</xdr:col>
      <xdr:colOff>243205</xdr:colOff>
      <xdr:row>6</xdr:row>
      <xdr:rowOff>59055</xdr:rowOff>
    </xdr:from>
    <xdr:to>
      <xdr:col>15</xdr:col>
      <xdr:colOff>1079500</xdr:colOff>
      <xdr:row>8</xdr:row>
      <xdr:rowOff>20053</xdr:rowOff>
    </xdr:to>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5831205" y="1543368"/>
          <a:ext cx="5598795" cy="278498"/>
        </a:xfrm>
        <a:prstGeom prst="rect">
          <a:avLst/>
        </a:prstGeom>
        <a:solidFill>
          <a:srgbClr val="FCFAD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solidFill>
                <a:schemeClr val="accent6">
                  <a:lumMod val="50000"/>
                </a:schemeClr>
              </a:solidFill>
              <a:latin typeface="Segoe Script" panose="020B0504020000000003" pitchFamily="34" charset="0"/>
            </a:rPr>
            <a:t>Links not working? Click</a:t>
          </a:r>
          <a:r>
            <a:rPr lang="en-AU" sz="1100" b="1" baseline="0">
              <a:solidFill>
                <a:schemeClr val="accent6">
                  <a:lumMod val="50000"/>
                </a:schemeClr>
              </a:solidFill>
              <a:latin typeface="Segoe Script" panose="020B0504020000000003" pitchFamily="34" charset="0"/>
            </a:rPr>
            <a:t> 'Enable Content' at the top of your screen</a:t>
          </a:r>
          <a:endParaRPr lang="en-AU" sz="1100" b="1">
            <a:solidFill>
              <a:schemeClr val="accent6">
                <a:lumMod val="50000"/>
              </a:schemeClr>
            </a:solidFill>
            <a:latin typeface="Segoe Script" panose="020B0504020000000003" pitchFamily="34" charset="0"/>
          </a:endParaRPr>
        </a:p>
      </xdr:txBody>
    </xdr:sp>
    <xdr:clientData/>
  </xdr:twoCellAnchor>
  <xdr:twoCellAnchor>
    <xdr:from>
      <xdr:col>1</xdr:col>
      <xdr:colOff>8021</xdr:colOff>
      <xdr:row>0</xdr:row>
      <xdr:rowOff>152401</xdr:rowOff>
    </xdr:from>
    <xdr:to>
      <xdr:col>15</xdr:col>
      <xdr:colOff>1095375</xdr:colOff>
      <xdr:row>3</xdr:row>
      <xdr:rowOff>40105</xdr:rowOff>
    </xdr:to>
    <xdr:sp macro="" textlink="">
      <xdr:nvSpPr>
        <xdr:cNvPr id="9" name="Shape 2">
          <a:extLst>
            <a:ext uri="{FF2B5EF4-FFF2-40B4-BE49-F238E27FC236}">
              <a16:creationId xmlns:a16="http://schemas.microsoft.com/office/drawing/2014/main" id="{1572DCC3-E3EB-4DB9-AC09-FCADADC78368}"/>
            </a:ext>
          </a:extLst>
        </xdr:cNvPr>
        <xdr:cNvSpPr txBox="1"/>
      </xdr:nvSpPr>
      <xdr:spPr>
        <a:xfrm>
          <a:off x="492209" y="152401"/>
          <a:ext cx="10953666" cy="895767"/>
        </a:xfrm>
        <a:prstGeom prst="rect">
          <a:avLst/>
        </a:prstGeom>
        <a:solidFill>
          <a:schemeClr val="bg1"/>
        </a:solidFill>
        <a:ln w="9525" cap="flat" cmpd="sng">
          <a:solidFill>
            <a:srgbClr val="BABABA"/>
          </a:solidFill>
          <a:prstDash val="solid"/>
          <a:round/>
          <a:headEnd type="none" w="med" len="med"/>
          <a:tailEnd type="none" w="med" len="med"/>
        </a:ln>
      </xdr:spPr>
      <xdr:txBody>
        <a:bodyPr lIns="91425" tIns="45700" rIns="91425" bIns="45700" anchor="t" anchorCtr="0">
          <a:noAutofit/>
        </a:bodyPr>
        <a:lstStyle/>
        <a:p>
          <a:pPr marL="0" marR="0" lvl="0" indent="0" algn="l" rtl="0">
            <a:spcBef>
              <a:spcPts val="0"/>
            </a:spcBef>
            <a:buClr>
              <a:srgbClr val="00B050"/>
            </a:buClr>
            <a:buSzPct val="25000"/>
            <a:buFont typeface="Calibri"/>
            <a:buNone/>
          </a:pPr>
          <a:r>
            <a:rPr lang="en-US" sz="2800" b="1" i="0" u="none" strike="noStrike" cap="none" baseline="0">
              <a:solidFill>
                <a:srgbClr val="00B050"/>
              </a:solidFill>
              <a:latin typeface="+mn-lt"/>
              <a:ea typeface="Calibri"/>
              <a:cs typeface="Calibri"/>
              <a:sym typeface="Calibri"/>
            </a:rPr>
            <a:t>Vulnerability Assessment Tool </a:t>
          </a:r>
          <a:r>
            <a:rPr lang="en-US" sz="1600" b="1" i="0" u="none" strike="noStrike" cap="none" baseline="0">
              <a:solidFill>
                <a:srgbClr val="00B050"/>
              </a:solidFill>
              <a:latin typeface="+mn-lt"/>
              <a:ea typeface="Calibri"/>
              <a:cs typeface="Calibri"/>
              <a:sym typeface="Calibri"/>
            </a:rPr>
            <a:t>3.0</a:t>
          </a:r>
        </a:p>
        <a:p>
          <a:pPr marL="0" marR="0" lvl="0" indent="0" algn="l" rtl="0">
            <a:spcBef>
              <a:spcPts val="0"/>
            </a:spcBef>
            <a:buClr>
              <a:srgbClr val="00B050"/>
            </a:buClr>
            <a:buSzPct val="25000"/>
            <a:buFont typeface="Calibri"/>
            <a:buNone/>
          </a:pPr>
          <a:r>
            <a:rPr lang="en-US" sz="1200" b="1" i="0" u="none" strike="noStrike" cap="none" baseline="0">
              <a:solidFill>
                <a:srgbClr val="00B050"/>
              </a:solidFill>
              <a:latin typeface="+mn-lt"/>
              <a:ea typeface="Calibri"/>
              <a:cs typeface="Calibri"/>
              <a:sym typeface="Calibri"/>
            </a:rPr>
            <a:t>   Food Fraud Advisors 2019</a:t>
          </a:r>
        </a:p>
      </xdr:txBody>
    </xdr:sp>
    <xdr:clientData/>
  </xdr:twoCellAnchor>
  <xdr:twoCellAnchor>
    <xdr:from>
      <xdr:col>11</xdr:col>
      <xdr:colOff>254978</xdr:colOff>
      <xdr:row>3</xdr:row>
      <xdr:rowOff>89115</xdr:rowOff>
    </xdr:from>
    <xdr:to>
      <xdr:col>15</xdr:col>
      <xdr:colOff>1034732</xdr:colOff>
      <xdr:row>6</xdr:row>
      <xdr:rowOff>93710</xdr:rowOff>
    </xdr:to>
    <xdr:grpSp>
      <xdr:nvGrpSpPr>
        <xdr:cNvPr id="29" name="Group 28">
          <a:extLst>
            <a:ext uri="{FF2B5EF4-FFF2-40B4-BE49-F238E27FC236}">
              <a16:creationId xmlns:a16="http://schemas.microsoft.com/office/drawing/2014/main" id="{79E60DCB-D163-4035-9237-8E431E65CB56}"/>
            </a:ext>
          </a:extLst>
        </xdr:cNvPr>
        <xdr:cNvGrpSpPr/>
      </xdr:nvGrpSpPr>
      <xdr:grpSpPr>
        <a:xfrm>
          <a:off x="6420251" y="1097418"/>
          <a:ext cx="4928420" cy="489504"/>
          <a:chOff x="6403530" y="1100736"/>
          <a:chExt cx="4918202" cy="477560"/>
        </a:xfrm>
      </xdr:grpSpPr>
      <xdr:sp macro="" textlink="">
        <xdr:nvSpPr>
          <xdr:cNvPr id="11" name="Rectangle: Rounded Corners 10">
            <a:extLst>
              <a:ext uri="{FF2B5EF4-FFF2-40B4-BE49-F238E27FC236}">
                <a16:creationId xmlns:a16="http://schemas.microsoft.com/office/drawing/2014/main" id="{FDB010F5-9BBF-452B-BE22-9D7024E8A639}"/>
              </a:ext>
            </a:extLst>
          </xdr:cNvPr>
          <xdr:cNvSpPr/>
        </xdr:nvSpPr>
        <xdr:spPr>
          <a:xfrm>
            <a:off x="6403530" y="1100736"/>
            <a:ext cx="4918202" cy="382964"/>
          </a:xfrm>
          <a:prstGeom prst="roundRect">
            <a:avLst/>
          </a:prstGeom>
          <a:solidFill>
            <a:schemeClr val="accent6">
              <a:lumMod val="40000"/>
              <a:lumOff val="60000"/>
            </a:schemeClr>
          </a:solidFill>
          <a:ln w="12700"/>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AU" sz="1100"/>
          </a:p>
        </xdr:txBody>
      </xdr:sp>
      <xdr:sp macro="" textlink="" fLocksText="0">
        <xdr:nvSpPr>
          <xdr:cNvPr id="14" name="TextBox 13">
            <a:hlinkClick xmlns:r="http://schemas.openxmlformats.org/officeDocument/2006/relationships" r:id="rId2"/>
            <a:extLst>
              <a:ext uri="{FF2B5EF4-FFF2-40B4-BE49-F238E27FC236}">
                <a16:creationId xmlns:a16="http://schemas.microsoft.com/office/drawing/2014/main" id="{8DC9018A-EA9A-462E-AC93-1802D8D3A2D7}"/>
              </a:ext>
            </a:extLst>
          </xdr:cNvPr>
          <xdr:cNvSpPr txBox="1"/>
        </xdr:nvSpPr>
        <xdr:spPr>
          <a:xfrm>
            <a:off x="6441944" y="1156215"/>
            <a:ext cx="4318022" cy="4220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u="sng">
                <a:solidFill>
                  <a:schemeClr val="dk1"/>
                </a:solidFill>
                <a:effectLst/>
                <a:latin typeface="+mn-lt"/>
                <a:ea typeface="+mn-ea"/>
                <a:cs typeface="+mn-cs"/>
              </a:rPr>
              <a:t>Click here for step-by-step</a:t>
            </a:r>
            <a:r>
              <a:rPr lang="en-AU" sz="1100" u="sng" baseline="0">
                <a:solidFill>
                  <a:schemeClr val="dk1"/>
                </a:solidFill>
                <a:effectLst/>
                <a:latin typeface="+mn-lt"/>
                <a:ea typeface="+mn-ea"/>
                <a:cs typeface="+mn-cs"/>
              </a:rPr>
              <a:t> instructions and estimated time to complete</a:t>
            </a:r>
            <a:endParaRPr lang="en-AU" sz="1200">
              <a:effectLst/>
            </a:endParaRPr>
          </a:p>
          <a:p>
            <a:endParaRPr lang="en-AU" sz="1200">
              <a:solidFill>
                <a:schemeClr val="bg1"/>
              </a:solidFill>
            </a:endParaRPr>
          </a:p>
        </xdr:txBody>
      </xdr:sp>
    </xdr:grpSp>
    <xdr:clientData/>
  </xdr:twoCellAnchor>
  <xdr:twoCellAnchor>
    <xdr:from>
      <xdr:col>1</xdr:col>
      <xdr:colOff>17317</xdr:colOff>
      <xdr:row>51</xdr:row>
      <xdr:rowOff>68920</xdr:rowOff>
    </xdr:from>
    <xdr:to>
      <xdr:col>7</xdr:col>
      <xdr:colOff>389933</xdr:colOff>
      <xdr:row>53</xdr:row>
      <xdr:rowOff>54470</xdr:rowOff>
    </xdr:to>
    <xdr:grpSp>
      <xdr:nvGrpSpPr>
        <xdr:cNvPr id="25" name="Group 24">
          <a:extLst>
            <a:ext uri="{FF2B5EF4-FFF2-40B4-BE49-F238E27FC236}">
              <a16:creationId xmlns:a16="http://schemas.microsoft.com/office/drawing/2014/main" id="{FBD49FEE-2E5E-4FB5-8B72-4533586D35BF}"/>
            </a:ext>
          </a:extLst>
        </xdr:cNvPr>
        <xdr:cNvGrpSpPr/>
      </xdr:nvGrpSpPr>
      <xdr:grpSpPr>
        <a:xfrm>
          <a:off x="502226" y="12322496"/>
          <a:ext cx="3682313" cy="393489"/>
          <a:chOff x="477144" y="12313471"/>
          <a:chExt cx="3670237" cy="392826"/>
        </a:xfrm>
      </xdr:grpSpPr>
      <xdr:sp macro="" textlink="">
        <xdr:nvSpPr>
          <xdr:cNvPr id="16" name="Rectangle: Rounded Corners 15">
            <a:extLst>
              <a:ext uri="{FF2B5EF4-FFF2-40B4-BE49-F238E27FC236}">
                <a16:creationId xmlns:a16="http://schemas.microsoft.com/office/drawing/2014/main" id="{01F672E9-5F65-44DF-AE02-D020103F8F08}"/>
              </a:ext>
            </a:extLst>
          </xdr:cNvPr>
          <xdr:cNvSpPr/>
        </xdr:nvSpPr>
        <xdr:spPr>
          <a:xfrm>
            <a:off x="477144" y="12313471"/>
            <a:ext cx="3670237" cy="392826"/>
          </a:xfrm>
          <a:prstGeom prst="roundRect">
            <a:avLst/>
          </a:prstGeom>
          <a:solidFill>
            <a:schemeClr val="accent6">
              <a:lumMod val="40000"/>
              <a:lumOff val="60000"/>
            </a:schemeClr>
          </a:solidFill>
          <a:ln w="12700"/>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AU" sz="1100"/>
          </a:p>
        </xdr:txBody>
      </xdr:sp>
      <xdr:sp macro="" textlink="">
        <xdr:nvSpPr>
          <xdr:cNvPr id="19" name="TextBox 18">
            <a:hlinkClick xmlns:r="http://schemas.openxmlformats.org/officeDocument/2006/relationships" r:id="rId3"/>
            <a:extLst>
              <a:ext uri="{FF2B5EF4-FFF2-40B4-BE49-F238E27FC236}">
                <a16:creationId xmlns:a16="http://schemas.microsoft.com/office/drawing/2014/main" id="{017BEE78-374E-4D0F-8BE5-A1764604E3F3}"/>
              </a:ext>
            </a:extLst>
          </xdr:cNvPr>
          <xdr:cNvSpPr txBox="1"/>
        </xdr:nvSpPr>
        <xdr:spPr>
          <a:xfrm>
            <a:off x="522943" y="12360651"/>
            <a:ext cx="3482549" cy="3045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200" u="sng">
                <a:solidFill>
                  <a:srgbClr val="0070C0"/>
                </a:solidFill>
              </a:rPr>
              <a:t>Click here for the full licence terms and conditions</a:t>
            </a:r>
          </a:p>
        </xdr:txBody>
      </xdr:sp>
    </xdr:grpSp>
    <xdr:clientData/>
  </xdr:twoCellAnchor>
  <xdr:twoCellAnchor>
    <xdr:from>
      <xdr:col>1</xdr:col>
      <xdr:colOff>25564</xdr:colOff>
      <xdr:row>42</xdr:row>
      <xdr:rowOff>26711</xdr:rowOff>
    </xdr:from>
    <xdr:to>
      <xdr:col>12</xdr:col>
      <xdr:colOff>758231</xdr:colOff>
      <xdr:row>43</xdr:row>
      <xdr:rowOff>95701</xdr:rowOff>
    </xdr:to>
    <xdr:sp macro="" textlink="">
      <xdr:nvSpPr>
        <xdr:cNvPr id="20" name="TextBox 19">
          <a:extLst>
            <a:ext uri="{FF2B5EF4-FFF2-40B4-BE49-F238E27FC236}">
              <a16:creationId xmlns:a16="http://schemas.microsoft.com/office/drawing/2014/main" id="{7F53E4A2-A632-48E6-8F8F-15971DF3EFA9}"/>
            </a:ext>
          </a:extLst>
        </xdr:cNvPr>
        <xdr:cNvSpPr txBox="1"/>
      </xdr:nvSpPr>
      <xdr:spPr>
        <a:xfrm>
          <a:off x="513244" y="10278151"/>
          <a:ext cx="7072507" cy="3128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u="none" strike="noStrike">
              <a:solidFill>
                <a:schemeClr val="dk1"/>
              </a:solidFill>
              <a:effectLst/>
              <a:latin typeface="+mn-lt"/>
              <a:ea typeface="+mn-ea"/>
              <a:cs typeface="+mn-cs"/>
            </a:rPr>
            <a:t>Suggested citation:  </a:t>
          </a:r>
          <a:r>
            <a:rPr lang="en-AU" sz="1100" b="1" i="0" u="none" strike="noStrike">
              <a:solidFill>
                <a:schemeClr val="dk1"/>
              </a:solidFill>
              <a:effectLst/>
              <a:latin typeface="+mn-lt"/>
              <a:ea typeface="+mn-ea"/>
              <a:cs typeface="+mn-cs"/>
            </a:rPr>
            <a:t>Food Fraud Advisors 2019, Vulnerability Assessment Tool 3.0</a:t>
          </a:r>
          <a:r>
            <a:rPr lang="en-AU"/>
            <a:t> </a:t>
          </a:r>
          <a:r>
            <a:rPr lang="en-AU" sz="1100" b="0" i="0" u="none" strike="noStrike">
              <a:solidFill>
                <a:schemeClr val="dk1"/>
              </a:solidFill>
              <a:effectLst/>
              <a:latin typeface="+mn-lt"/>
              <a:ea typeface="+mn-ea"/>
              <a:cs typeface="+mn-cs"/>
            </a:rPr>
            <a:t> </a:t>
          </a:r>
          <a:r>
            <a:rPr lang="en-AU"/>
            <a:t> </a:t>
          </a:r>
          <a:endParaRPr lang="en-AU" sz="1100"/>
        </a:p>
      </xdr:txBody>
    </xdr:sp>
    <xdr:clientData/>
  </xdr:twoCellAnchor>
  <xdr:twoCellAnchor>
    <xdr:from>
      <xdr:col>1</xdr:col>
      <xdr:colOff>18437</xdr:colOff>
      <xdr:row>53</xdr:row>
      <xdr:rowOff>147141</xdr:rowOff>
    </xdr:from>
    <xdr:to>
      <xdr:col>6</xdr:col>
      <xdr:colOff>118241</xdr:colOff>
      <xdr:row>56</xdr:row>
      <xdr:rowOff>9723</xdr:rowOff>
    </xdr:to>
    <xdr:grpSp>
      <xdr:nvGrpSpPr>
        <xdr:cNvPr id="26" name="Group 25">
          <a:extLst>
            <a:ext uri="{FF2B5EF4-FFF2-40B4-BE49-F238E27FC236}">
              <a16:creationId xmlns:a16="http://schemas.microsoft.com/office/drawing/2014/main" id="{9107AE0E-9E62-4F94-9B1E-AE7F651CE7B6}"/>
            </a:ext>
          </a:extLst>
        </xdr:cNvPr>
        <xdr:cNvGrpSpPr/>
      </xdr:nvGrpSpPr>
      <xdr:grpSpPr>
        <a:xfrm>
          <a:off x="503346" y="12808656"/>
          <a:ext cx="2816834" cy="478340"/>
          <a:chOff x="530816" y="12772692"/>
          <a:chExt cx="2676957" cy="466927"/>
        </a:xfrm>
      </xdr:grpSpPr>
      <xdr:sp macro="" textlink="">
        <xdr:nvSpPr>
          <xdr:cNvPr id="17" name="Rectangle: Rounded Corners 16">
            <a:extLst>
              <a:ext uri="{FF2B5EF4-FFF2-40B4-BE49-F238E27FC236}">
                <a16:creationId xmlns:a16="http://schemas.microsoft.com/office/drawing/2014/main" id="{A51A1008-DD7B-4D7A-9423-C9A59DADDF76}"/>
              </a:ext>
            </a:extLst>
          </xdr:cNvPr>
          <xdr:cNvSpPr/>
        </xdr:nvSpPr>
        <xdr:spPr>
          <a:xfrm>
            <a:off x="530816" y="12812335"/>
            <a:ext cx="2676957" cy="389292"/>
          </a:xfrm>
          <a:prstGeom prst="roundRect">
            <a:avLst/>
          </a:prstGeom>
          <a:solidFill>
            <a:schemeClr val="accent6">
              <a:lumMod val="40000"/>
              <a:lumOff val="60000"/>
            </a:schemeClr>
          </a:solidFill>
          <a:ln w="12700"/>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AU" sz="1100"/>
          </a:p>
        </xdr:txBody>
      </xdr:sp>
      <xdr:sp macro="" textlink="">
        <xdr:nvSpPr>
          <xdr:cNvPr id="21" name="TextBox 20">
            <a:hlinkClick xmlns:r="http://schemas.openxmlformats.org/officeDocument/2006/relationships" r:id="rId4"/>
            <a:extLst>
              <a:ext uri="{FF2B5EF4-FFF2-40B4-BE49-F238E27FC236}">
                <a16:creationId xmlns:a16="http://schemas.microsoft.com/office/drawing/2014/main" id="{7E9A52C8-F2E7-470D-A191-58C16391697E}"/>
              </a:ext>
            </a:extLst>
          </xdr:cNvPr>
          <xdr:cNvSpPr txBox="1"/>
        </xdr:nvSpPr>
        <xdr:spPr>
          <a:xfrm>
            <a:off x="594425" y="12772692"/>
            <a:ext cx="2430494" cy="4669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200" u="sng">
                <a:solidFill>
                  <a:srgbClr val="0070C0"/>
                </a:solidFill>
              </a:rPr>
              <a:t>Click here for</a:t>
            </a:r>
            <a:r>
              <a:rPr lang="en-AU" sz="1200" u="sng" baseline="0">
                <a:solidFill>
                  <a:srgbClr val="0070C0"/>
                </a:solidFill>
              </a:rPr>
              <a:t> frequently asked </a:t>
            </a:r>
            <a:r>
              <a:rPr lang="en-AU" sz="1100" u="sng" baseline="0">
                <a:solidFill>
                  <a:srgbClr val="0070C0"/>
                </a:solidFill>
              </a:rPr>
              <a:t>questions (and their answers)</a:t>
            </a:r>
            <a:endParaRPr lang="en-AU" sz="1100" u="sng">
              <a:solidFill>
                <a:srgbClr val="0070C0"/>
              </a:solidFill>
            </a:endParaRPr>
          </a:p>
        </xdr:txBody>
      </xdr:sp>
    </xdr:grpSp>
    <xdr:clientData/>
  </xdr:twoCellAnchor>
  <xdr:twoCellAnchor>
    <xdr:from>
      <xdr:col>1</xdr:col>
      <xdr:colOff>9526</xdr:colOff>
      <xdr:row>22</xdr:row>
      <xdr:rowOff>0</xdr:rowOff>
    </xdr:from>
    <xdr:to>
      <xdr:col>15</xdr:col>
      <xdr:colOff>1151467</xdr:colOff>
      <xdr:row>31</xdr:row>
      <xdr:rowOff>317499</xdr:rowOff>
    </xdr:to>
    <xdr:sp macro="" textlink="">
      <xdr:nvSpPr>
        <xdr:cNvPr id="3" name="Shape 3">
          <a:extLst>
            <a:ext uri="{FF2B5EF4-FFF2-40B4-BE49-F238E27FC236}">
              <a16:creationId xmlns:a16="http://schemas.microsoft.com/office/drawing/2014/main" id="{00000000-0008-0000-0000-000003000000}"/>
            </a:ext>
          </a:extLst>
        </xdr:cNvPr>
        <xdr:cNvSpPr txBox="1"/>
      </xdr:nvSpPr>
      <xdr:spPr>
        <a:xfrm>
          <a:off x="495629" y="5872655"/>
          <a:ext cx="10942838" cy="2721741"/>
        </a:xfrm>
        <a:prstGeom prst="rect">
          <a:avLst/>
        </a:prstGeom>
        <a:solidFill>
          <a:schemeClr val="lt1"/>
        </a:solidFill>
        <a:ln w="9525" cap="flat" cmpd="sng">
          <a:solidFill>
            <a:srgbClr val="BABABA"/>
          </a:solidFill>
          <a:prstDash val="solid"/>
          <a:round/>
          <a:headEnd type="none" w="med" len="med"/>
          <a:tailEnd type="none" w="med" len="med"/>
        </a:ln>
      </xdr:spPr>
      <xdr:txBody>
        <a:bodyPr lIns="91425" tIns="45700" rIns="91425" bIns="45700" anchor="t" anchorCtr="0">
          <a:noAutofit/>
        </a:bodyPr>
        <a:lstStyle/>
        <a:p>
          <a:pPr marL="0" marR="0" lvl="0" indent="0" algn="l" rtl="0">
            <a:lnSpc>
              <a:spcPct val="100000"/>
            </a:lnSpc>
            <a:spcBef>
              <a:spcPts val="0"/>
            </a:spcBef>
            <a:spcAft>
              <a:spcPts val="0"/>
            </a:spcAft>
            <a:buClr>
              <a:srgbClr val="00B050"/>
            </a:buClr>
            <a:buSzPct val="25000"/>
            <a:buFont typeface="Calibri"/>
            <a:buNone/>
          </a:pPr>
          <a:r>
            <a:rPr lang="en-US" sz="1200" b="1" i="0" u="none" strike="noStrike" cap="none" baseline="0">
              <a:solidFill>
                <a:srgbClr val="00B050"/>
              </a:solidFill>
              <a:latin typeface="Calibri"/>
              <a:ea typeface="Calibri"/>
              <a:cs typeface="Calibri"/>
              <a:sym typeface="Calibri"/>
            </a:rPr>
            <a:t>How to use the Vulnerability Assessment Tool:</a:t>
          </a:r>
        </a:p>
        <a:p>
          <a:pPr marL="0" marR="0" lvl="0" indent="0" algn="l" rtl="0">
            <a:lnSpc>
              <a:spcPct val="100000"/>
            </a:lnSpc>
            <a:spcBef>
              <a:spcPts val="0"/>
            </a:spcBef>
            <a:spcAft>
              <a:spcPts val="0"/>
            </a:spcAft>
            <a:buClr>
              <a:schemeClr val="dk1"/>
            </a:buClr>
            <a:buSzPct val="25000"/>
            <a:buFont typeface="Calibri"/>
            <a:buNone/>
          </a:pPr>
          <a:r>
            <a:rPr lang="en-US" sz="1200" b="0" i="0" u="none" strike="noStrike" cap="none" baseline="0">
              <a:solidFill>
                <a:schemeClr val="dk1"/>
              </a:solidFill>
              <a:latin typeface="Calibri"/>
              <a:ea typeface="Calibri"/>
              <a:cs typeface="Calibri"/>
              <a:sym typeface="Calibri"/>
            </a:rPr>
            <a:t>Create a new excel file for each material or group of materials.  A material group is a family of food ingredients, raw materials or products that are of similar composition and have similar supply chain characteristics.  If you are unsure of which materials to include within a group, just start with your best guess; when using the tool it will soon be clear whether you can include more materials within a group and it is simple to expand the scope after you have started if you wish to do so.</a:t>
          </a:r>
        </a:p>
        <a:p>
          <a:pPr marL="0" marR="0" lvl="0" indent="0" algn="l" rtl="0">
            <a:lnSpc>
              <a:spcPct val="100000"/>
            </a:lnSpc>
            <a:spcBef>
              <a:spcPts val="0"/>
            </a:spcBef>
            <a:spcAft>
              <a:spcPts val="0"/>
            </a:spcAft>
            <a:buFont typeface="Arial"/>
            <a:buNone/>
          </a:pPr>
          <a:endParaRPr sz="1200" b="0" i="0" u="none" strike="noStrike" cap="none" baseline="0">
            <a:solidFill>
              <a:schemeClr val="dk1"/>
            </a:solidFill>
            <a:latin typeface="Calibri"/>
            <a:ea typeface="Calibri"/>
            <a:cs typeface="Calibri"/>
            <a:sym typeface="Calibri"/>
          </a:endParaRPr>
        </a:p>
        <a:p>
          <a:pPr marL="0" marR="0" lvl="0" indent="0" algn="l" rtl="0">
            <a:lnSpc>
              <a:spcPct val="100000"/>
            </a:lnSpc>
            <a:spcBef>
              <a:spcPts val="0"/>
            </a:spcBef>
            <a:spcAft>
              <a:spcPts val="0"/>
            </a:spcAft>
            <a:buClr>
              <a:schemeClr val="dk1"/>
            </a:buClr>
            <a:buSzPct val="25000"/>
            <a:buFont typeface="Calibri"/>
            <a:buNone/>
          </a:pPr>
          <a:r>
            <a:rPr lang="en-US" sz="1200" b="0" i="0" u="none" strike="noStrike" cap="none" baseline="0">
              <a:solidFill>
                <a:schemeClr val="dk1"/>
              </a:solidFill>
              <a:latin typeface="Calibri"/>
              <a:ea typeface="Calibri"/>
              <a:cs typeface="Calibri"/>
              <a:sym typeface="Calibri"/>
            </a:rPr>
            <a:t>Collect information about the material group and use it to answer questions in the worksheets.  You do not need all the information on hand to start, you can add or change the information at any time.  Start with your best guess and update your answers as you learn more.</a:t>
          </a:r>
        </a:p>
        <a:p>
          <a:pPr marL="0" marR="0" lvl="0" indent="0" algn="l" rtl="0">
            <a:lnSpc>
              <a:spcPct val="100000"/>
            </a:lnSpc>
            <a:spcBef>
              <a:spcPts val="0"/>
            </a:spcBef>
            <a:spcAft>
              <a:spcPts val="0"/>
            </a:spcAft>
            <a:buClr>
              <a:schemeClr val="dk1"/>
            </a:buClr>
            <a:buSzPct val="25000"/>
            <a:buFont typeface="Calibri"/>
            <a:buNone/>
          </a:pPr>
          <a:endParaRPr lang="en-US" sz="1200" b="0" i="0" u="none" strike="noStrike" cap="none" baseline="0">
            <a:solidFill>
              <a:schemeClr val="dk1"/>
            </a:solidFill>
            <a:latin typeface="Calibri"/>
            <a:ea typeface="Calibri"/>
            <a:cs typeface="Calibri"/>
            <a:sym typeface="Calibri"/>
          </a:endParaRPr>
        </a:p>
        <a:p>
          <a:pPr marL="0" marR="0" lvl="0" indent="0" algn="l" defTabSz="914400" rtl="0" eaLnBrk="1" fontAlgn="auto" latinLnBrk="0" hangingPunct="1">
            <a:lnSpc>
              <a:spcPct val="100000"/>
            </a:lnSpc>
            <a:spcBef>
              <a:spcPts val="0"/>
            </a:spcBef>
            <a:spcAft>
              <a:spcPts val="0"/>
            </a:spcAft>
            <a:buClr>
              <a:schemeClr val="dk1"/>
            </a:buClr>
            <a:buSzPct val="25000"/>
            <a:buFont typeface="Calibri"/>
            <a:buNone/>
            <a:tabLst/>
            <a:defRPr/>
          </a:pPr>
          <a:r>
            <a:rPr lang="en-US" sz="1200" b="0" i="0" u="none" strike="noStrike" cap="none" baseline="0">
              <a:solidFill>
                <a:schemeClr val="dk1"/>
              </a:solidFill>
              <a:latin typeface="Calibri"/>
              <a:ea typeface="Calibri"/>
              <a:cs typeface="Calibri"/>
              <a:sym typeface="Calibri"/>
            </a:rPr>
            <a:t>When you have answered all the questions, view and print the results.  </a:t>
          </a:r>
          <a:r>
            <a:rPr lang="en-US" sz="1200" b="0" i="0" baseline="0">
              <a:effectLst/>
              <a:latin typeface="+mn-lt"/>
              <a:ea typeface="+mn-ea"/>
              <a:cs typeface="+mn-cs"/>
            </a:rPr>
            <a:t>Section 1 of the results defines the purpose and scope, author, date and review date.  Section 2 of the results contains the vulnerability rating, risk matrix and information about what was considered in the assessment.  You can print to paper, print to pdf or copy and paste the results into a larger document. </a:t>
          </a:r>
        </a:p>
        <a:p>
          <a:pPr marL="0" marR="0" lvl="0" indent="0" algn="l" defTabSz="914400" rtl="0" eaLnBrk="1" fontAlgn="auto" latinLnBrk="0" hangingPunct="1">
            <a:lnSpc>
              <a:spcPct val="100000"/>
            </a:lnSpc>
            <a:spcBef>
              <a:spcPts val="0"/>
            </a:spcBef>
            <a:spcAft>
              <a:spcPts val="0"/>
            </a:spcAft>
            <a:buClr>
              <a:schemeClr val="dk1"/>
            </a:buClr>
            <a:buSzPct val="25000"/>
            <a:buFont typeface="Calibri"/>
            <a:buNone/>
            <a:tabLst/>
            <a:defRPr/>
          </a:pPr>
          <a:endParaRPr lang="en-US" sz="1200" b="0" i="0" baseline="0">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
              <a:schemeClr val="dk1"/>
            </a:buClr>
            <a:buSzPct val="25000"/>
            <a:buFont typeface="Calibri"/>
            <a:buNone/>
            <a:tabLst/>
            <a:defRPr/>
          </a:pPr>
          <a:r>
            <a:rPr lang="en-US" sz="1200" b="0" i="0" baseline="0">
              <a:effectLst/>
              <a:latin typeface="+mn-lt"/>
              <a:ea typeface="+mn-ea"/>
              <a:cs typeface="+mn-cs"/>
            </a:rPr>
            <a:t>If you wish to add a brief description of controls that are in place to prevent, detect, deter and mitigate food fraud risks, </a:t>
          </a:r>
          <a:r>
            <a:rPr lang="en-AU" sz="1200" b="0" i="0" baseline="0">
              <a:effectLst/>
              <a:latin typeface="+mn-lt"/>
              <a:ea typeface="+mn-ea"/>
              <a:cs typeface="+mn-cs"/>
            </a:rPr>
            <a:t>there are optional worksheets to prepare and print a control plan.</a:t>
          </a:r>
          <a:endParaRPr lang="en-AU" sz="1200">
            <a:effectLst/>
          </a:endParaRPr>
        </a:p>
        <a:p>
          <a:pPr marL="0" marR="0" lvl="0" indent="0" algn="l" rtl="0">
            <a:lnSpc>
              <a:spcPct val="100000"/>
            </a:lnSpc>
            <a:spcBef>
              <a:spcPts val="0"/>
            </a:spcBef>
            <a:spcAft>
              <a:spcPts val="0"/>
            </a:spcAft>
            <a:buClr>
              <a:schemeClr val="dk1"/>
            </a:buClr>
            <a:buSzPct val="25000"/>
            <a:buFont typeface="Calibri"/>
            <a:buNone/>
          </a:pPr>
          <a:endParaRPr lang="en-US" sz="1200" b="0" i="0" u="none" strike="noStrike" cap="none" baseline="0">
            <a:solidFill>
              <a:schemeClr val="dk1"/>
            </a:solidFill>
            <a:latin typeface="Calibri"/>
            <a:ea typeface="Calibri"/>
            <a:cs typeface="Calibri"/>
            <a:sym typeface="Calibri"/>
          </a:endParaRPr>
        </a:p>
        <a:p>
          <a:pPr marL="0" marR="0" lvl="0" indent="0" algn="l" rtl="0">
            <a:lnSpc>
              <a:spcPct val="100000"/>
            </a:lnSpc>
            <a:spcBef>
              <a:spcPts val="0"/>
            </a:spcBef>
            <a:spcAft>
              <a:spcPts val="0"/>
            </a:spcAft>
            <a:buFont typeface="Arial"/>
            <a:buNone/>
          </a:pPr>
          <a:endParaRPr sz="1200" b="0" i="0" u="none" strike="noStrike" cap="none" baseline="0">
            <a:solidFill>
              <a:schemeClr val="dk1"/>
            </a:solidFill>
            <a:latin typeface="Calibri"/>
            <a:ea typeface="Calibri"/>
            <a:cs typeface="Calibri"/>
            <a:sym typeface="Calibri"/>
          </a:endParaRPr>
        </a:p>
        <a:p>
          <a:pPr marL="0" marR="0" lvl="0" indent="0" algn="l" rtl="0">
            <a:lnSpc>
              <a:spcPct val="100000"/>
            </a:lnSpc>
            <a:spcBef>
              <a:spcPts val="0"/>
            </a:spcBef>
            <a:spcAft>
              <a:spcPts val="0"/>
            </a:spcAft>
            <a:buFont typeface="Arial"/>
            <a:buNone/>
          </a:pPr>
          <a:endParaRPr sz="1100" b="0" i="0" u="none" strike="noStrike" cap="none" baseline="0">
            <a:solidFill>
              <a:schemeClr val="dk1"/>
            </a:solidFill>
            <a:latin typeface="Calibri"/>
            <a:ea typeface="Calibri"/>
            <a:cs typeface="Calibri"/>
            <a:sym typeface="Calibri"/>
          </a:endParaRPr>
        </a:p>
        <a:p>
          <a:pPr marL="0" marR="0" lvl="0" indent="0" algn="l" rtl="0">
            <a:lnSpc>
              <a:spcPct val="100000"/>
            </a:lnSpc>
            <a:spcBef>
              <a:spcPts val="0"/>
            </a:spcBef>
            <a:spcAft>
              <a:spcPts val="0"/>
            </a:spcAft>
            <a:buFont typeface="Arial"/>
            <a:buNone/>
          </a:pPr>
          <a:endParaRPr sz="1100" b="0" i="0" u="none" strike="noStrike" cap="none" baseline="0">
            <a:solidFill>
              <a:schemeClr val="dk1"/>
            </a:solidFill>
            <a:latin typeface="Calibri"/>
            <a:ea typeface="Calibri"/>
            <a:cs typeface="Calibri"/>
            <a:sym typeface="Calibri"/>
          </a:endParaRPr>
        </a:p>
        <a:p>
          <a:pPr marL="0" marR="0" lvl="0" indent="0" algn="l" rtl="0">
            <a:lnSpc>
              <a:spcPct val="100000"/>
            </a:lnSpc>
            <a:spcBef>
              <a:spcPts val="0"/>
            </a:spcBef>
            <a:spcAft>
              <a:spcPts val="0"/>
            </a:spcAft>
            <a:buFont typeface="Arial"/>
            <a:buNone/>
          </a:pPr>
          <a:endParaRPr sz="1100" b="0" i="0" u="none" strike="noStrike" cap="none" baseline="0"/>
        </a:p>
        <a:p>
          <a:pPr marL="0" marR="0" lvl="0" indent="0" algn="l" rtl="0">
            <a:spcBef>
              <a:spcPts val="0"/>
            </a:spcBef>
            <a:buFont typeface="Arial"/>
            <a:buNone/>
          </a:pPr>
          <a:endParaRPr sz="1100" b="0" i="0" u="none" strike="noStrike" cap="none" baseline="0"/>
        </a:p>
      </xdr:txBody>
    </xdr:sp>
    <xdr:clientData/>
  </xdr:twoCellAnchor>
  <xdr:twoCellAnchor>
    <xdr:from>
      <xdr:col>1</xdr:col>
      <xdr:colOff>978</xdr:colOff>
      <xdr:row>31</xdr:row>
      <xdr:rowOff>406615</xdr:rowOff>
    </xdr:from>
    <xdr:to>
      <xdr:col>9</xdr:col>
      <xdr:colOff>439419</xdr:colOff>
      <xdr:row>33</xdr:row>
      <xdr:rowOff>61960</xdr:rowOff>
    </xdr:to>
    <xdr:grpSp>
      <xdr:nvGrpSpPr>
        <xdr:cNvPr id="28" name="Group 27">
          <a:extLst>
            <a:ext uri="{FF2B5EF4-FFF2-40B4-BE49-F238E27FC236}">
              <a16:creationId xmlns:a16="http://schemas.microsoft.com/office/drawing/2014/main" id="{B9EB52FC-7E9D-4086-89CD-C2D9839EB3A4}"/>
            </a:ext>
          </a:extLst>
        </xdr:cNvPr>
        <xdr:cNvGrpSpPr/>
      </xdr:nvGrpSpPr>
      <xdr:grpSpPr>
        <a:xfrm>
          <a:off x="485887" y="8773221"/>
          <a:ext cx="4933471" cy="494315"/>
          <a:chOff x="487081" y="8683512"/>
          <a:chExt cx="4918476" cy="496172"/>
        </a:xfrm>
      </xdr:grpSpPr>
      <xdr:sp macro="" textlink="">
        <xdr:nvSpPr>
          <xdr:cNvPr id="23" name="Rectangle: Rounded Corners 22">
            <a:extLst>
              <a:ext uri="{FF2B5EF4-FFF2-40B4-BE49-F238E27FC236}">
                <a16:creationId xmlns:a16="http://schemas.microsoft.com/office/drawing/2014/main" id="{663C6CD9-1A46-4BF7-BACC-6B3F0C958F39}"/>
              </a:ext>
            </a:extLst>
          </xdr:cNvPr>
          <xdr:cNvSpPr/>
        </xdr:nvSpPr>
        <xdr:spPr>
          <a:xfrm>
            <a:off x="487081" y="8683512"/>
            <a:ext cx="4918476" cy="391723"/>
          </a:xfrm>
          <a:prstGeom prst="roundRect">
            <a:avLst/>
          </a:prstGeom>
          <a:solidFill>
            <a:schemeClr val="accent6">
              <a:lumMod val="40000"/>
              <a:lumOff val="60000"/>
            </a:schemeClr>
          </a:solidFill>
          <a:ln w="12700"/>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AU" sz="1100"/>
          </a:p>
        </xdr:txBody>
      </xdr:sp>
      <xdr:sp macro="" textlink="" fLocksText="0">
        <xdr:nvSpPr>
          <xdr:cNvPr id="24" name="TextBox 23">
            <a:hlinkClick xmlns:r="http://schemas.openxmlformats.org/officeDocument/2006/relationships" r:id="rId2"/>
            <a:extLst>
              <a:ext uri="{FF2B5EF4-FFF2-40B4-BE49-F238E27FC236}">
                <a16:creationId xmlns:a16="http://schemas.microsoft.com/office/drawing/2014/main" id="{6165A331-9951-43F5-994A-B91482B821E0}"/>
              </a:ext>
            </a:extLst>
          </xdr:cNvPr>
          <xdr:cNvSpPr txBox="1"/>
        </xdr:nvSpPr>
        <xdr:spPr>
          <a:xfrm>
            <a:off x="525495" y="8754866"/>
            <a:ext cx="4256712" cy="424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u="sng">
                <a:solidFill>
                  <a:schemeClr val="dk1"/>
                </a:solidFill>
                <a:effectLst/>
                <a:latin typeface="+mn-lt"/>
                <a:ea typeface="+mn-ea"/>
                <a:cs typeface="+mn-cs"/>
              </a:rPr>
              <a:t>Click here for step-by-step</a:t>
            </a:r>
            <a:r>
              <a:rPr lang="en-AU" sz="1100" u="sng" baseline="0">
                <a:solidFill>
                  <a:schemeClr val="dk1"/>
                </a:solidFill>
                <a:effectLst/>
                <a:latin typeface="+mn-lt"/>
                <a:ea typeface="+mn-ea"/>
                <a:cs typeface="+mn-cs"/>
              </a:rPr>
              <a:t> instructions and estimated time to complete</a:t>
            </a:r>
            <a:endParaRPr lang="en-AU" sz="1200">
              <a:effectLst/>
            </a:endParaRPr>
          </a:p>
          <a:p>
            <a:endParaRPr lang="en-AU" sz="1200">
              <a:solidFill>
                <a:schemeClr val="bg1"/>
              </a:solidFill>
            </a:endParaRPr>
          </a:p>
        </xdr:txBody>
      </xdr:sp>
    </xdr:grpSp>
    <xdr:clientData/>
  </xdr:twoCellAnchor>
  <xdr:twoCellAnchor>
    <xdr:from>
      <xdr:col>13</xdr:col>
      <xdr:colOff>825500</xdr:colOff>
      <xdr:row>51</xdr:row>
      <xdr:rowOff>189680</xdr:rowOff>
    </xdr:from>
    <xdr:to>
      <xdr:col>15</xdr:col>
      <xdr:colOff>79375</xdr:colOff>
      <xdr:row>56</xdr:row>
      <xdr:rowOff>59395</xdr:rowOff>
    </xdr:to>
    <xdr:grpSp>
      <xdr:nvGrpSpPr>
        <xdr:cNvPr id="22" name="Group 21">
          <a:extLst>
            <a:ext uri="{FF2B5EF4-FFF2-40B4-BE49-F238E27FC236}">
              <a16:creationId xmlns:a16="http://schemas.microsoft.com/office/drawing/2014/main" id="{27F0885E-D35F-49A5-A700-D30255705F60}"/>
            </a:ext>
          </a:extLst>
        </xdr:cNvPr>
        <xdr:cNvGrpSpPr/>
      </xdr:nvGrpSpPr>
      <xdr:grpSpPr>
        <a:xfrm>
          <a:off x="8768773" y="12443256"/>
          <a:ext cx="1624541" cy="893412"/>
          <a:chOff x="8747672" y="12289714"/>
          <a:chExt cx="1618703" cy="881336"/>
        </a:xfrm>
      </xdr:grpSpPr>
      <xdr:sp macro="" textlink="">
        <xdr:nvSpPr>
          <xdr:cNvPr id="7" name="Arrow: Right 6">
            <a:extLst>
              <a:ext uri="{FF2B5EF4-FFF2-40B4-BE49-F238E27FC236}">
                <a16:creationId xmlns:a16="http://schemas.microsoft.com/office/drawing/2014/main" id="{4F356286-1D8A-4247-BFCD-E80651019D66}"/>
              </a:ext>
            </a:extLst>
          </xdr:cNvPr>
          <xdr:cNvSpPr/>
        </xdr:nvSpPr>
        <xdr:spPr>
          <a:xfrm>
            <a:off x="8747672" y="12289714"/>
            <a:ext cx="1618703" cy="881336"/>
          </a:xfrm>
          <a:prstGeom prst="rightArrow">
            <a:avLst/>
          </a:prstGeom>
          <a:solidFill>
            <a:schemeClr val="accent6">
              <a:lumMod val="60000"/>
              <a:lumOff val="40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10" name="TextBox 9">
            <a:hlinkClick xmlns:r="http://schemas.openxmlformats.org/officeDocument/2006/relationships" r:id="rId2"/>
            <a:extLst>
              <a:ext uri="{FF2B5EF4-FFF2-40B4-BE49-F238E27FC236}">
                <a16:creationId xmlns:a16="http://schemas.microsoft.com/office/drawing/2014/main" id="{16240F8E-965B-46B3-9804-B682F6695368}"/>
              </a:ext>
            </a:extLst>
          </xdr:cNvPr>
          <xdr:cNvSpPr txBox="1"/>
        </xdr:nvSpPr>
        <xdr:spPr>
          <a:xfrm>
            <a:off x="8821847" y="12591886"/>
            <a:ext cx="1261789" cy="2893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Get started</a:t>
            </a:r>
          </a:p>
        </xdr:txBody>
      </xdr:sp>
    </xdr:grpSp>
    <xdr:clientData/>
  </xdr:twoCellAnchor>
  <xdr:twoCellAnchor>
    <xdr:from>
      <xdr:col>7</xdr:col>
      <xdr:colOff>445703</xdr:colOff>
      <xdr:row>15</xdr:row>
      <xdr:rowOff>88662</xdr:rowOff>
    </xdr:from>
    <xdr:to>
      <xdr:col>9</xdr:col>
      <xdr:colOff>246303</xdr:colOff>
      <xdr:row>17</xdr:row>
      <xdr:rowOff>15394</xdr:rowOff>
    </xdr:to>
    <xdr:grpSp>
      <xdr:nvGrpSpPr>
        <xdr:cNvPr id="30" name="Group 29">
          <a:extLst>
            <a:ext uri="{FF2B5EF4-FFF2-40B4-BE49-F238E27FC236}">
              <a16:creationId xmlns:a16="http://schemas.microsoft.com/office/drawing/2014/main" id="{921A96A3-3A50-4B36-BDD3-F3342F12B5D0}"/>
            </a:ext>
          </a:extLst>
        </xdr:cNvPr>
        <xdr:cNvGrpSpPr/>
      </xdr:nvGrpSpPr>
      <xdr:grpSpPr>
        <a:xfrm>
          <a:off x="4240309" y="3036601"/>
          <a:ext cx="985933" cy="250005"/>
          <a:chOff x="530816" y="12772692"/>
          <a:chExt cx="2676957" cy="466927"/>
        </a:xfrm>
      </xdr:grpSpPr>
      <xdr:sp macro="" textlink="">
        <xdr:nvSpPr>
          <xdr:cNvPr id="31" name="Rectangle: Rounded Corners 30">
            <a:extLst>
              <a:ext uri="{FF2B5EF4-FFF2-40B4-BE49-F238E27FC236}">
                <a16:creationId xmlns:a16="http://schemas.microsoft.com/office/drawing/2014/main" id="{E1BD150C-5FA8-4948-9C1E-B1A993A0288B}"/>
              </a:ext>
            </a:extLst>
          </xdr:cNvPr>
          <xdr:cNvSpPr/>
        </xdr:nvSpPr>
        <xdr:spPr>
          <a:xfrm>
            <a:off x="530816" y="12812335"/>
            <a:ext cx="2676957" cy="389292"/>
          </a:xfrm>
          <a:prstGeom prst="roundRect">
            <a:avLst/>
          </a:prstGeom>
          <a:solidFill>
            <a:schemeClr val="accent6">
              <a:lumMod val="40000"/>
              <a:lumOff val="60000"/>
            </a:schemeClr>
          </a:solidFill>
          <a:ln w="12700"/>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AU" sz="1100"/>
          </a:p>
        </xdr:txBody>
      </xdr:sp>
      <xdr:sp macro="" textlink="">
        <xdr:nvSpPr>
          <xdr:cNvPr id="32" name="TextBox 31">
            <a:hlinkClick xmlns:r="http://schemas.openxmlformats.org/officeDocument/2006/relationships" r:id="rId5"/>
            <a:extLst>
              <a:ext uri="{FF2B5EF4-FFF2-40B4-BE49-F238E27FC236}">
                <a16:creationId xmlns:a16="http://schemas.microsoft.com/office/drawing/2014/main" id="{F93175BE-0194-47DA-83DF-7D6BCC227825}"/>
              </a:ext>
            </a:extLst>
          </xdr:cNvPr>
          <xdr:cNvSpPr txBox="1"/>
        </xdr:nvSpPr>
        <xdr:spPr>
          <a:xfrm>
            <a:off x="594425" y="12772692"/>
            <a:ext cx="2430494" cy="4669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u="sng">
                <a:solidFill>
                  <a:sysClr val="windowText" lastClr="000000"/>
                </a:solidFill>
                <a:latin typeface="Arial" panose="020B0604020202020204" pitchFamily="34" charset="0"/>
                <a:cs typeface="Arial" panose="020B0604020202020204" pitchFamily="34" charset="0"/>
              </a:rPr>
              <a:t>Definitions</a:t>
            </a:r>
            <a:endParaRPr lang="en-AU" sz="900" u="sng">
              <a:solidFill>
                <a:sysClr val="windowText" lastClr="000000"/>
              </a:solidFill>
              <a:latin typeface="Arial" panose="020B0604020202020204" pitchFamily="34" charset="0"/>
              <a:cs typeface="Arial" panose="020B0604020202020204" pitchFamily="34" charset="0"/>
            </a:endParaRPr>
          </a:p>
        </xdr:txBody>
      </xdr:sp>
    </xdr:grpSp>
    <xdr:clientData/>
  </xdr:twoCellAnchor>
  <xdr:twoCellAnchor>
    <xdr:from>
      <xdr:col>9</xdr:col>
      <xdr:colOff>531092</xdr:colOff>
      <xdr:row>1</xdr:row>
      <xdr:rowOff>0</xdr:rowOff>
    </xdr:from>
    <xdr:to>
      <xdr:col>15</xdr:col>
      <xdr:colOff>1046788</xdr:colOff>
      <xdr:row>3</xdr:row>
      <xdr:rowOff>7696</xdr:rowOff>
    </xdr:to>
    <xdr:sp macro="" textlink="">
      <xdr:nvSpPr>
        <xdr:cNvPr id="8" name="TextBox 7">
          <a:extLst>
            <a:ext uri="{FF2B5EF4-FFF2-40B4-BE49-F238E27FC236}">
              <a16:creationId xmlns:a16="http://schemas.microsoft.com/office/drawing/2014/main" id="{D5B67B36-5BC8-4735-B288-6733C39B71A6}"/>
            </a:ext>
          </a:extLst>
        </xdr:cNvPr>
        <xdr:cNvSpPr txBox="1"/>
      </xdr:nvSpPr>
      <xdr:spPr>
        <a:xfrm>
          <a:off x="5511031" y="192424"/>
          <a:ext cx="5849696" cy="823575"/>
        </a:xfrm>
        <a:prstGeom prst="rect">
          <a:avLst/>
        </a:prstGeom>
        <a:solidFill>
          <a:schemeClr val="accent4">
            <a:lumMod val="60000"/>
            <a:lumOff val="40000"/>
          </a:schemeClr>
        </a:solidFill>
        <a:ln w="9525" cmpd="sng">
          <a:solidFill>
            <a:schemeClr val="accent2">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r>
            <a:rPr lang="en-AU" sz="1100">
              <a:solidFill>
                <a:schemeClr val="accent2">
                  <a:lumMod val="50000"/>
                </a:schemeClr>
              </a:solidFill>
              <a:effectLst/>
              <a:latin typeface="+mn-lt"/>
              <a:ea typeface="+mn-ea"/>
              <a:cs typeface="+mn-cs"/>
            </a:rPr>
            <a:t>What's new in version 3?</a:t>
          </a:r>
        </a:p>
        <a:p>
          <a:pPr lvl="0"/>
          <a:r>
            <a:rPr lang="en-AU" sz="1100">
              <a:solidFill>
                <a:schemeClr val="accent2">
                  <a:lumMod val="50000"/>
                </a:schemeClr>
              </a:solidFill>
              <a:effectLst/>
              <a:latin typeface="+mn-lt"/>
              <a:ea typeface="+mn-ea"/>
              <a:cs typeface="+mn-cs"/>
            </a:rPr>
            <a:t>Defintions and descriptors for each of the ratings of likelihood and consequences have been added</a:t>
          </a:r>
        </a:p>
        <a:p>
          <a:pPr lvl="0"/>
          <a:r>
            <a:rPr lang="en-AU" sz="1100">
              <a:solidFill>
                <a:schemeClr val="accent2">
                  <a:lumMod val="50000"/>
                </a:schemeClr>
              </a:solidFill>
              <a:effectLst/>
              <a:latin typeface="+mn-lt"/>
              <a:ea typeface="+mn-ea"/>
              <a:cs typeface="+mn-cs"/>
            </a:rPr>
            <a:t>An increased scope: stolen goods, insider activities, counterfeiting, vendor reputation and vendor history are included.</a:t>
          </a:r>
        </a:p>
        <a:p>
          <a:endParaRPr lang="en-AU"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1108363</xdr:colOff>
      <xdr:row>8</xdr:row>
      <xdr:rowOff>7698</xdr:rowOff>
    </xdr:from>
    <xdr:to>
      <xdr:col>8</xdr:col>
      <xdr:colOff>207818</xdr:colOff>
      <xdr:row>9</xdr:row>
      <xdr:rowOff>646546</xdr:rowOff>
    </xdr:to>
    <xdr:sp macro="" textlink="">
      <xdr:nvSpPr>
        <xdr:cNvPr id="15" name="Down Arrow 3">
          <a:extLst>
            <a:ext uri="{FF2B5EF4-FFF2-40B4-BE49-F238E27FC236}">
              <a16:creationId xmlns:a16="http://schemas.microsoft.com/office/drawing/2014/main" id="{85B44D80-FAEC-4BC4-84CD-71AF1A33F5DE}"/>
            </a:ext>
          </a:extLst>
        </xdr:cNvPr>
        <xdr:cNvSpPr/>
      </xdr:nvSpPr>
      <xdr:spPr>
        <a:xfrm>
          <a:off x="5018424" y="1162243"/>
          <a:ext cx="254000" cy="1031394"/>
        </a:xfrm>
        <a:prstGeom prst="downArrow">
          <a:avLst/>
        </a:prstGeom>
        <a:solidFill>
          <a:schemeClr val="bg1">
            <a:lumMod val="85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9</xdr:col>
      <xdr:colOff>2767768</xdr:colOff>
      <xdr:row>8</xdr:row>
      <xdr:rowOff>67083</xdr:rowOff>
    </xdr:from>
    <xdr:to>
      <xdr:col>10</xdr:col>
      <xdr:colOff>361758</xdr:colOff>
      <xdr:row>15</xdr:row>
      <xdr:rowOff>354060</xdr:rowOff>
    </xdr:to>
    <xdr:sp macro="" textlink="">
      <xdr:nvSpPr>
        <xdr:cNvPr id="2" name="TextBox 1">
          <a:extLst>
            <a:ext uri="{FF2B5EF4-FFF2-40B4-BE49-F238E27FC236}">
              <a16:creationId xmlns:a16="http://schemas.microsoft.com/office/drawing/2014/main" id="{99491B3E-2C86-44CE-B46E-041A1D5DC00C}"/>
            </a:ext>
          </a:extLst>
        </xdr:cNvPr>
        <xdr:cNvSpPr txBox="1"/>
      </xdr:nvSpPr>
      <xdr:spPr>
        <a:xfrm>
          <a:off x="13204859" y="1221628"/>
          <a:ext cx="4559747" cy="5036008"/>
        </a:xfrm>
        <a:prstGeom prst="rect">
          <a:avLst/>
        </a:prstGeom>
        <a:solidFill>
          <a:schemeClr val="bg1">
            <a:lumMod val="85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US" sz="1200" b="1" i="0" baseline="0">
              <a:solidFill>
                <a:srgbClr val="FF0000"/>
              </a:solidFill>
              <a:effectLst/>
              <a:latin typeface="+mn-lt"/>
              <a:ea typeface="+mn-ea"/>
              <a:cs typeface="+mn-cs"/>
            </a:rPr>
            <a:t>Initial screening instructions</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Use this worksheet to perform an initial screening for food fraud.  Initial screenings are optional.</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You can enter information into the white cells.  The coloured cells cannot be edited.</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Read the question in column 3 of the table, then choose an answer by clicking on the cell in column 5 and choosing from the dropdown list.</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Add comments that support your answer or provide more information (optional).</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For help with the questions, click on the links in the 'Help' column.  </a:t>
          </a:r>
          <a:endParaRPr lang="en-AU"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The information in the results column and the comments you enter are reproduced in the printable vulnerability assessment document ('Results section 1').  The information on the results sheet can be changed at any time by returning to this sheet; the printable results pages cannot be edited directly.</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AU" sz="1200" b="0" i="0" baseline="0">
              <a:solidFill>
                <a:srgbClr val="FF0000"/>
              </a:solidFill>
              <a:effectLst/>
              <a:latin typeface="+mn-lt"/>
              <a:ea typeface="+mn-ea"/>
              <a:cs typeface="+mn-cs"/>
            </a:rPr>
            <a:t>Hint: you must choose 'Initial screening' from the dropdown list on the scope worksheet or you will not be able to see your results.</a:t>
          </a: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Delete this text box or drag it off-screen if you wish to enter comments.</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xdr:txBody>
    </xdr:sp>
    <xdr:clientData/>
  </xdr:twoCellAnchor>
  <xdr:twoCellAnchor>
    <xdr:from>
      <xdr:col>5</xdr:col>
      <xdr:colOff>199160</xdr:colOff>
      <xdr:row>1</xdr:row>
      <xdr:rowOff>47241</xdr:rowOff>
    </xdr:from>
    <xdr:to>
      <xdr:col>5</xdr:col>
      <xdr:colOff>789710</xdr:colOff>
      <xdr:row>6</xdr:row>
      <xdr:rowOff>44257</xdr:rowOff>
    </xdr:to>
    <xdr:sp macro="" textlink="">
      <xdr:nvSpPr>
        <xdr:cNvPr id="3" name="TextBox 2">
          <a:extLst>
            <a:ext uri="{FF2B5EF4-FFF2-40B4-BE49-F238E27FC236}">
              <a16:creationId xmlns:a16="http://schemas.microsoft.com/office/drawing/2014/main" id="{22CA62FF-738E-4035-A523-9F29FF199C9A}"/>
            </a:ext>
          </a:extLst>
        </xdr:cNvPr>
        <xdr:cNvSpPr txBox="1"/>
      </xdr:nvSpPr>
      <xdr:spPr>
        <a:xfrm>
          <a:off x="4109221" y="216574"/>
          <a:ext cx="590550" cy="889865"/>
        </a:xfrm>
        <a:prstGeom prst="rect">
          <a:avLst/>
        </a:prstGeom>
        <a:solidFill>
          <a:schemeClr val="bg1">
            <a:lumMod val="85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200" b="1">
              <a:solidFill>
                <a:srgbClr val="FF0000"/>
              </a:solidFill>
              <a:latin typeface="+mn-lt"/>
            </a:rPr>
            <a:t>click</a:t>
          </a:r>
          <a:r>
            <a:rPr lang="en-AU" sz="1200" b="1" baseline="0">
              <a:solidFill>
                <a:srgbClr val="FF0000"/>
              </a:solidFill>
              <a:latin typeface="+mn-lt"/>
            </a:rPr>
            <a:t> this cell to </a:t>
          </a:r>
          <a:r>
            <a:rPr lang="en-AU" sz="1200" b="1">
              <a:solidFill>
                <a:srgbClr val="FF0000"/>
              </a:solidFill>
              <a:latin typeface="+mn-lt"/>
            </a:rPr>
            <a:t>start</a:t>
          </a:r>
        </a:p>
      </xdr:txBody>
    </xdr:sp>
    <xdr:clientData/>
  </xdr:twoCellAnchor>
  <xdr:twoCellAnchor>
    <xdr:from>
      <xdr:col>5</xdr:col>
      <xdr:colOff>858905</xdr:colOff>
      <xdr:row>2</xdr:row>
      <xdr:rowOff>28274</xdr:rowOff>
    </xdr:from>
    <xdr:to>
      <xdr:col>8</xdr:col>
      <xdr:colOff>1023697</xdr:colOff>
      <xdr:row>6</xdr:row>
      <xdr:rowOff>38485</xdr:rowOff>
    </xdr:to>
    <xdr:sp macro="" textlink="">
      <xdr:nvSpPr>
        <xdr:cNvPr id="5" name="TextBox 4">
          <a:extLst>
            <a:ext uri="{FF2B5EF4-FFF2-40B4-BE49-F238E27FC236}">
              <a16:creationId xmlns:a16="http://schemas.microsoft.com/office/drawing/2014/main" id="{FCCD818D-D711-4565-A5EE-9D29BA38954F}"/>
            </a:ext>
          </a:extLst>
        </xdr:cNvPr>
        <xdr:cNvSpPr txBox="1"/>
      </xdr:nvSpPr>
      <xdr:spPr>
        <a:xfrm>
          <a:off x="4768966" y="397729"/>
          <a:ext cx="1319337" cy="702938"/>
        </a:xfrm>
        <a:prstGeom prst="rect">
          <a:avLst/>
        </a:prstGeom>
        <a:solidFill>
          <a:schemeClr val="bg1">
            <a:lumMod val="85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200" b="1">
              <a:solidFill>
                <a:srgbClr val="FF0000"/>
              </a:solidFill>
              <a:latin typeface="Calibri" panose="020F0502020204030204" pitchFamily="34" charset="0"/>
            </a:rPr>
            <a:t>then click</a:t>
          </a:r>
          <a:r>
            <a:rPr lang="en-AU" sz="1200" b="1" baseline="0">
              <a:solidFill>
                <a:srgbClr val="FF0000"/>
              </a:solidFill>
              <a:latin typeface="Calibri" panose="020F0502020204030204" pitchFamily="34" charset="0"/>
            </a:rPr>
            <a:t> on the arrow that appears here</a:t>
          </a:r>
          <a:endParaRPr lang="en-AU" sz="1200" b="1">
            <a:solidFill>
              <a:srgbClr val="FF0000"/>
            </a:solidFill>
            <a:latin typeface="Calibri" panose="020F0502020204030204" pitchFamily="34" charset="0"/>
          </a:endParaRPr>
        </a:p>
      </xdr:txBody>
    </xdr:sp>
    <xdr:clientData/>
  </xdr:twoCellAnchor>
  <xdr:twoCellAnchor>
    <xdr:from>
      <xdr:col>5</xdr:col>
      <xdr:colOff>526376</xdr:colOff>
      <xdr:row>7</xdr:row>
      <xdr:rowOff>38003</xdr:rowOff>
    </xdr:from>
    <xdr:to>
      <xdr:col>5</xdr:col>
      <xdr:colOff>688301</xdr:colOff>
      <xdr:row>8</xdr:row>
      <xdr:rowOff>222443</xdr:rowOff>
    </xdr:to>
    <xdr:sp macro="" textlink="">
      <xdr:nvSpPr>
        <xdr:cNvPr id="7" name="Down Arrow 3">
          <a:extLst>
            <a:ext uri="{FF2B5EF4-FFF2-40B4-BE49-F238E27FC236}">
              <a16:creationId xmlns:a16="http://schemas.microsoft.com/office/drawing/2014/main" id="{E4373592-47B8-48D6-8C77-ADE818F2CDA3}"/>
            </a:ext>
          </a:extLst>
        </xdr:cNvPr>
        <xdr:cNvSpPr/>
      </xdr:nvSpPr>
      <xdr:spPr>
        <a:xfrm>
          <a:off x="4436437" y="1146367"/>
          <a:ext cx="161925" cy="230621"/>
        </a:xfrm>
        <a:prstGeom prst="downArrow">
          <a:avLst/>
        </a:prstGeom>
        <a:solidFill>
          <a:schemeClr val="bg1">
            <a:lumMod val="85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mc:AlternateContent xmlns:mc="http://schemas.openxmlformats.org/markup-compatibility/2006">
    <mc:Choice xmlns:a14="http://schemas.microsoft.com/office/drawing/2010/main" Requires="a14">
      <xdr:twoCellAnchor editAs="oneCell">
        <xdr:from>
          <xdr:col>8</xdr:col>
          <xdr:colOff>1203018</xdr:colOff>
          <xdr:row>0</xdr:row>
          <xdr:rowOff>0</xdr:rowOff>
        </xdr:from>
        <xdr:to>
          <xdr:col>9</xdr:col>
          <xdr:colOff>365875</xdr:colOff>
          <xdr:row>8</xdr:row>
          <xdr:rowOff>101771</xdr:rowOff>
        </xdr:to>
        <xdr:pic>
          <xdr:nvPicPr>
            <xdr:cNvPr id="10" name="Picture 9">
              <a:extLst>
                <a:ext uri="{FF2B5EF4-FFF2-40B4-BE49-F238E27FC236}">
                  <a16:creationId xmlns:a16="http://schemas.microsoft.com/office/drawing/2014/main" id="{8B1CCC8B-B121-4779-B6CC-632DE63CC24F}"/>
                </a:ext>
              </a:extLst>
            </xdr:cNvPr>
            <xdr:cNvPicPr>
              <a:picLocks noChangeAspect="1" noChangeArrowheads="1"/>
              <a:extLst>
                <a:ext uri="{84589F7E-364E-4C9E-8A38-B11213B215E9}">
                  <a14:cameraTool cellRange="prescreenmatrix" spid="_x0000_s13835"/>
                </a:ext>
              </a:extLst>
            </xdr:cNvPicPr>
          </xdr:nvPicPr>
          <xdr:blipFill>
            <a:blip xmlns:r="http://schemas.openxmlformats.org/officeDocument/2006/relationships" r:embed="rId1"/>
            <a:srcRect/>
            <a:stretch>
              <a:fillRect/>
            </a:stretch>
          </xdr:blipFill>
          <xdr:spPr bwMode="auto">
            <a:xfrm>
              <a:off x="6272651" y="0"/>
              <a:ext cx="1262244" cy="1244771"/>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6</xdr:col>
      <xdr:colOff>352425</xdr:colOff>
      <xdr:row>8</xdr:row>
      <xdr:rowOff>283845</xdr:rowOff>
    </xdr:from>
    <xdr:to>
      <xdr:col>6</xdr:col>
      <xdr:colOff>514350</xdr:colOff>
      <xdr:row>9</xdr:row>
      <xdr:rowOff>175260</xdr:rowOff>
    </xdr:to>
    <xdr:sp macro="" textlink="">
      <xdr:nvSpPr>
        <xdr:cNvPr id="13" name="Down Arrow 3">
          <a:extLst>
            <a:ext uri="{FF2B5EF4-FFF2-40B4-BE49-F238E27FC236}">
              <a16:creationId xmlns:a16="http://schemas.microsoft.com/office/drawing/2014/main" id="{5B999744-7FEA-48A2-999E-F929E4823522}"/>
            </a:ext>
          </a:extLst>
        </xdr:cNvPr>
        <xdr:cNvSpPr/>
      </xdr:nvSpPr>
      <xdr:spPr>
        <a:xfrm>
          <a:off x="5427345" y="1426845"/>
          <a:ext cx="161925" cy="287655"/>
        </a:xfrm>
        <a:prstGeom prst="downArrow">
          <a:avLst/>
        </a:prstGeom>
        <a:solidFill>
          <a:schemeClr val="bg1">
            <a:lumMod val="85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381000</xdr:colOff>
      <xdr:row>23</xdr:row>
      <xdr:rowOff>23091</xdr:rowOff>
    </xdr:from>
    <xdr:to>
      <xdr:col>5</xdr:col>
      <xdr:colOff>1050637</xdr:colOff>
      <xdr:row>26</xdr:row>
      <xdr:rowOff>34636</xdr:rowOff>
    </xdr:to>
    <xdr:sp macro="" textlink="">
      <xdr:nvSpPr>
        <xdr:cNvPr id="11" name="TextBox 10">
          <a:extLst>
            <a:ext uri="{FF2B5EF4-FFF2-40B4-BE49-F238E27FC236}">
              <a16:creationId xmlns:a16="http://schemas.microsoft.com/office/drawing/2014/main" id="{BBC217ED-AE8B-4355-9C8B-ADCC0D74D621}"/>
            </a:ext>
          </a:extLst>
        </xdr:cNvPr>
        <xdr:cNvSpPr txBox="1"/>
      </xdr:nvSpPr>
      <xdr:spPr>
        <a:xfrm>
          <a:off x="2447636" y="11210636"/>
          <a:ext cx="2516910" cy="1039091"/>
        </a:xfrm>
        <a:prstGeom prst="rect">
          <a:avLst/>
        </a:prstGeom>
        <a:solidFill>
          <a:schemeClr val="bg1">
            <a:lumMod val="85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200" b="0">
              <a:solidFill>
                <a:srgbClr val="FF0000"/>
              </a:solidFill>
              <a:latin typeface="Calibri" panose="020F0502020204030204" pitchFamily="34" charset="0"/>
            </a:rPr>
            <a:t>Hint: you must choose 'Initial screening' in the yellow box on the scope worksheet</a:t>
          </a:r>
          <a:r>
            <a:rPr lang="en-AU" sz="1200" b="0" baseline="0">
              <a:solidFill>
                <a:srgbClr val="FF0000"/>
              </a:solidFill>
              <a:latin typeface="Calibri" panose="020F0502020204030204" pitchFamily="34" charset="0"/>
            </a:rPr>
            <a:t> or you will not be able to see your results.</a:t>
          </a:r>
          <a:endParaRPr lang="en-AU" sz="1200" b="0">
            <a:solidFill>
              <a:srgbClr val="FF0000"/>
            </a:solidFill>
            <a:latin typeface="Calibri" panose="020F0502020204030204"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432435</xdr:colOff>
      <xdr:row>3</xdr:row>
      <xdr:rowOff>11429</xdr:rowOff>
    </xdr:from>
    <xdr:to>
      <xdr:col>13</xdr:col>
      <xdr:colOff>251460</xdr:colOff>
      <xdr:row>14</xdr:row>
      <xdr:rowOff>7620</xdr:rowOff>
    </xdr:to>
    <xdr:sp macro="" textlink="">
      <xdr:nvSpPr>
        <xdr:cNvPr id="2" name="TextBox 1">
          <a:extLst>
            <a:ext uri="{FF2B5EF4-FFF2-40B4-BE49-F238E27FC236}">
              <a16:creationId xmlns:a16="http://schemas.microsoft.com/office/drawing/2014/main" id="{CB70DA2D-AF50-4F65-8049-3D5F89F6FABC}"/>
            </a:ext>
          </a:extLst>
        </xdr:cNvPr>
        <xdr:cNvSpPr txBox="1"/>
      </xdr:nvSpPr>
      <xdr:spPr>
        <a:xfrm>
          <a:off x="6269355" y="689609"/>
          <a:ext cx="4817745" cy="2975611"/>
        </a:xfrm>
        <a:prstGeom prst="rect">
          <a:avLst/>
        </a:prstGeom>
        <a:solidFill>
          <a:schemeClr val="bg1">
            <a:lumMod val="85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US" sz="1200" b="1" i="0" baseline="0">
              <a:solidFill>
                <a:srgbClr val="FF0000"/>
              </a:solidFill>
              <a:effectLst/>
              <a:latin typeface="+mn-lt"/>
              <a:ea typeface="+mn-ea"/>
              <a:cs typeface="+mn-cs"/>
            </a:rPr>
            <a:t>Instructions</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Using this sheet is optional.</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If you wish you can use it to create a detailed list of products that contain the material for which you are doing the vulnerability assessment.  This may help you to answer the questions about consequences.</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Add product brands, names and or skus into the yellow boxes.</a:t>
          </a:r>
          <a:endParaRPr lang="en-AU"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The information you enter here is not automatically added to the completed assessment document, but can be printed and appended if desired.</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Delete this text box prior to printing.</a:t>
          </a:r>
        </a:p>
        <a:p>
          <a:endParaRPr lang="en-AU"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423333</xdr:colOff>
      <xdr:row>1</xdr:row>
      <xdr:rowOff>160867</xdr:rowOff>
    </xdr:from>
    <xdr:to>
      <xdr:col>7</xdr:col>
      <xdr:colOff>353771</xdr:colOff>
      <xdr:row>4</xdr:row>
      <xdr:rowOff>118155</xdr:rowOff>
    </xdr:to>
    <xdr:grpSp>
      <xdr:nvGrpSpPr>
        <xdr:cNvPr id="5" name="Group 4">
          <a:extLst>
            <a:ext uri="{FF2B5EF4-FFF2-40B4-BE49-F238E27FC236}">
              <a16:creationId xmlns:a16="http://schemas.microsoft.com/office/drawing/2014/main" id="{9CDF3F89-1ECD-4997-8DA9-A99C0471348A}"/>
            </a:ext>
          </a:extLst>
        </xdr:cNvPr>
        <xdr:cNvGrpSpPr/>
      </xdr:nvGrpSpPr>
      <xdr:grpSpPr>
        <a:xfrm>
          <a:off x="6211454" y="514928"/>
          <a:ext cx="1623772" cy="950197"/>
          <a:chOff x="10180320" y="17586960"/>
          <a:chExt cx="1702451" cy="1295400"/>
        </a:xfrm>
      </xdr:grpSpPr>
      <xdr:sp macro="" textlink="">
        <xdr:nvSpPr>
          <xdr:cNvPr id="6" name="Arrow: Right 5">
            <a:extLst>
              <a:ext uri="{FF2B5EF4-FFF2-40B4-BE49-F238E27FC236}">
                <a16:creationId xmlns:a16="http://schemas.microsoft.com/office/drawing/2014/main" id="{17A7CB53-8733-4113-9D49-6519926FD7AD}"/>
              </a:ext>
            </a:extLst>
          </xdr:cNvPr>
          <xdr:cNvSpPr/>
        </xdr:nvSpPr>
        <xdr:spPr>
          <a:xfrm rot="10800000">
            <a:off x="10180320" y="17586960"/>
            <a:ext cx="1615440" cy="1295400"/>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7" name="TextBox 6">
            <a:hlinkClick xmlns:r="http://schemas.openxmlformats.org/officeDocument/2006/relationships" r:id="rId1"/>
            <a:extLst>
              <a:ext uri="{FF2B5EF4-FFF2-40B4-BE49-F238E27FC236}">
                <a16:creationId xmlns:a16="http://schemas.microsoft.com/office/drawing/2014/main" id="{CB339BCC-2E9D-4194-878B-C33CC2FDCD96}"/>
              </a:ext>
            </a:extLst>
          </xdr:cNvPr>
          <xdr:cNvSpPr txBox="1"/>
        </xdr:nvSpPr>
        <xdr:spPr>
          <a:xfrm>
            <a:off x="10404491" y="17938585"/>
            <a:ext cx="1478280" cy="865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rgbClr val="0070C0"/>
                </a:solidFill>
                <a:latin typeface="Arial" panose="020B0604020202020204" pitchFamily="34" charset="0"/>
                <a:cs typeface="Arial" panose="020B0604020202020204" pitchFamily="34" charset="0"/>
              </a:rPr>
              <a:t>Back to Introduction</a:t>
            </a:r>
          </a:p>
        </xdr:txBody>
      </xdr:sp>
    </xdr:grpSp>
    <xdr:clientData/>
  </xdr:twoCellAnchor>
  <xdr:twoCellAnchor>
    <xdr:from>
      <xdr:col>11</xdr:col>
      <xdr:colOff>397933</xdr:colOff>
      <xdr:row>20</xdr:row>
      <xdr:rowOff>179494</xdr:rowOff>
    </xdr:from>
    <xdr:to>
      <xdr:col>13</xdr:col>
      <xdr:colOff>472304</xdr:colOff>
      <xdr:row>26</xdr:row>
      <xdr:rowOff>16934</xdr:rowOff>
    </xdr:to>
    <xdr:grpSp>
      <xdr:nvGrpSpPr>
        <xdr:cNvPr id="14" name="Group 13">
          <a:extLst>
            <a:ext uri="{FF2B5EF4-FFF2-40B4-BE49-F238E27FC236}">
              <a16:creationId xmlns:a16="http://schemas.microsoft.com/office/drawing/2014/main" id="{64E561EC-C7B9-4973-8EA8-B5E5EBC8F45E}"/>
            </a:ext>
          </a:extLst>
        </xdr:cNvPr>
        <xdr:cNvGrpSpPr/>
      </xdr:nvGrpSpPr>
      <xdr:grpSpPr>
        <a:xfrm>
          <a:off x="11443085" y="8992524"/>
          <a:ext cx="1621461" cy="1392228"/>
          <a:chOff x="10180320" y="17586960"/>
          <a:chExt cx="1702451" cy="1295400"/>
        </a:xfrm>
      </xdr:grpSpPr>
      <xdr:sp macro="" textlink="">
        <xdr:nvSpPr>
          <xdr:cNvPr id="15" name="Arrow: Right 14">
            <a:extLst>
              <a:ext uri="{FF2B5EF4-FFF2-40B4-BE49-F238E27FC236}">
                <a16:creationId xmlns:a16="http://schemas.microsoft.com/office/drawing/2014/main" id="{7BD9A5B0-B92C-4932-95C0-8A69E5509FCD}"/>
              </a:ext>
            </a:extLst>
          </xdr:cNvPr>
          <xdr:cNvSpPr/>
        </xdr:nvSpPr>
        <xdr:spPr>
          <a:xfrm rot="10800000">
            <a:off x="10180320" y="17586960"/>
            <a:ext cx="1615440" cy="1295400"/>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16" name="TextBox 15">
            <a:hlinkClick xmlns:r="http://schemas.openxmlformats.org/officeDocument/2006/relationships" r:id="rId1"/>
            <a:extLst>
              <a:ext uri="{FF2B5EF4-FFF2-40B4-BE49-F238E27FC236}">
                <a16:creationId xmlns:a16="http://schemas.microsoft.com/office/drawing/2014/main" id="{A283096C-5A14-4919-AB3F-01CDC13BE50B}"/>
              </a:ext>
            </a:extLst>
          </xdr:cNvPr>
          <xdr:cNvSpPr txBox="1"/>
        </xdr:nvSpPr>
        <xdr:spPr>
          <a:xfrm>
            <a:off x="10404491" y="17938585"/>
            <a:ext cx="1478280" cy="865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rgbClr val="0070C0"/>
                </a:solidFill>
                <a:latin typeface="Arial" panose="020B0604020202020204" pitchFamily="34" charset="0"/>
                <a:cs typeface="Arial" panose="020B0604020202020204" pitchFamily="34" charset="0"/>
              </a:rPr>
              <a:t>Back to Introduction</a:t>
            </a:r>
          </a:p>
        </xdr:txBody>
      </xdr:sp>
    </xdr:grpSp>
    <xdr:clientData/>
  </xdr:twoCellAnchor>
</xdr:wsDr>
</file>

<file path=xl/drawings/drawing13.xml><?xml version="1.0" encoding="utf-8"?>
<xdr:wsDr xmlns:xdr="http://schemas.openxmlformats.org/drawingml/2006/spreadsheetDrawing" xmlns:a="http://schemas.openxmlformats.org/drawingml/2006/main">
  <xdr:oneCellAnchor>
    <xdr:from>
      <xdr:col>5</xdr:col>
      <xdr:colOff>14309</xdr:colOff>
      <xdr:row>14</xdr:row>
      <xdr:rowOff>7154</xdr:rowOff>
    </xdr:from>
    <xdr:ext cx="232535" cy="962338"/>
    <xdr:sp macro="" textlink="">
      <xdr:nvSpPr>
        <xdr:cNvPr id="2" name="TextBox 1">
          <a:extLst>
            <a:ext uri="{FF2B5EF4-FFF2-40B4-BE49-F238E27FC236}">
              <a16:creationId xmlns:a16="http://schemas.microsoft.com/office/drawing/2014/main" id="{CBBDAA20-D2A7-4994-A7B3-3FA191FF9370}"/>
            </a:ext>
          </a:extLst>
        </xdr:cNvPr>
        <xdr:cNvSpPr txBox="1"/>
      </xdr:nvSpPr>
      <xdr:spPr>
        <a:xfrm>
          <a:off x="4482563" y="2640168"/>
          <a:ext cx="232535" cy="9623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t">
          <a:noAutofit/>
        </a:bodyPr>
        <a:lstStyle/>
        <a:p>
          <a:r>
            <a:rPr lang="en-AU" sz="1000">
              <a:latin typeface="Arial" panose="020B0604020202020204" pitchFamily="34" charset="0"/>
              <a:cs typeface="Arial" panose="020B0604020202020204" pitchFamily="34" charset="0"/>
            </a:rPr>
            <a:t>Consequences</a:t>
          </a:r>
          <a:r>
            <a:rPr lang="en-AU" sz="1000"/>
            <a:t> </a:t>
          </a:r>
          <a:r>
            <a:rPr lang="en-AU" sz="1100" b="0" i="0" u="none" strike="noStrike">
              <a:solidFill>
                <a:schemeClr val="dk1"/>
              </a:solidFill>
              <a:effectLst/>
              <a:latin typeface="+mn-lt"/>
              <a:ea typeface="+mn-ea"/>
              <a:cs typeface="+mn-cs"/>
            </a:rPr>
            <a:t> </a:t>
          </a:r>
          <a:r>
            <a:rPr lang="en-AU" sz="1000"/>
            <a:t> </a:t>
          </a:r>
          <a:r>
            <a:rPr lang="en-AU" sz="1100" b="0" i="0" u="none" strike="noStrike">
              <a:solidFill>
                <a:schemeClr val="dk1"/>
              </a:solidFill>
              <a:effectLst/>
              <a:latin typeface="+mn-lt"/>
              <a:ea typeface="+mn-ea"/>
              <a:cs typeface="+mn-cs"/>
            </a:rPr>
            <a:t> </a:t>
          </a:r>
          <a:r>
            <a:rPr lang="en-AU" sz="1000"/>
            <a:t> </a:t>
          </a:r>
          <a:r>
            <a:rPr lang="en-AU" sz="1100" b="0" i="0" u="none" strike="noStrike">
              <a:solidFill>
                <a:schemeClr val="dk1"/>
              </a:solidFill>
              <a:effectLst/>
              <a:latin typeface="+mn-lt"/>
              <a:ea typeface="+mn-ea"/>
              <a:cs typeface="+mn-cs"/>
            </a:rPr>
            <a:t> </a:t>
          </a:r>
          <a:r>
            <a:rPr lang="en-AU" sz="1000"/>
            <a:t> </a:t>
          </a:r>
          <a:r>
            <a:rPr lang="en-AU" sz="1100" b="0" i="0" u="none" strike="noStrike">
              <a:solidFill>
                <a:schemeClr val="dk1"/>
              </a:solidFill>
              <a:effectLst/>
              <a:latin typeface="+mn-lt"/>
              <a:ea typeface="+mn-ea"/>
              <a:cs typeface="+mn-cs"/>
            </a:rPr>
            <a:t> </a:t>
          </a:r>
          <a:r>
            <a:rPr lang="en-AU" sz="1000"/>
            <a:t> </a:t>
          </a:r>
          <a:r>
            <a:rPr lang="en-AU" sz="1100" b="0" i="0" u="none" strike="noStrike">
              <a:solidFill>
                <a:schemeClr val="dk1"/>
              </a:solidFill>
              <a:effectLst/>
              <a:latin typeface="+mn-lt"/>
              <a:ea typeface="+mn-ea"/>
              <a:cs typeface="+mn-cs"/>
            </a:rPr>
            <a:t> </a:t>
          </a:r>
          <a:r>
            <a:rPr lang="en-AU" sz="1000"/>
            <a:t> </a:t>
          </a:r>
          <a:r>
            <a:rPr lang="en-AU" sz="1100" b="0" i="0" u="none" strike="noStrike">
              <a:solidFill>
                <a:schemeClr val="dk1"/>
              </a:solidFill>
              <a:effectLst/>
              <a:latin typeface="+mn-lt"/>
              <a:ea typeface="+mn-ea"/>
              <a:cs typeface="+mn-cs"/>
            </a:rPr>
            <a:t> </a:t>
          </a:r>
          <a:r>
            <a:rPr lang="en-AU" sz="1000"/>
            <a:t> </a:t>
          </a:r>
          <a:r>
            <a:rPr lang="en-AU" sz="1100" b="0" i="0" u="none" strike="noStrike">
              <a:solidFill>
                <a:schemeClr val="dk1"/>
              </a:solidFill>
              <a:effectLst/>
              <a:latin typeface="+mn-lt"/>
              <a:ea typeface="+mn-ea"/>
              <a:cs typeface="+mn-cs"/>
            </a:rPr>
            <a:t> </a:t>
          </a:r>
          <a:r>
            <a:rPr lang="en-AU" sz="1000"/>
            <a:t> </a:t>
          </a:r>
          <a:r>
            <a:rPr lang="en-AU" sz="1100" b="0" i="0" u="none" strike="noStrike">
              <a:solidFill>
                <a:schemeClr val="dk1"/>
              </a:solidFill>
              <a:effectLst/>
              <a:latin typeface="+mn-lt"/>
              <a:ea typeface="+mn-ea"/>
              <a:cs typeface="+mn-cs"/>
            </a:rPr>
            <a:t> </a:t>
          </a:r>
          <a:r>
            <a:rPr lang="en-AU" sz="1000"/>
            <a:t> </a:t>
          </a:r>
          <a:r>
            <a:rPr lang="en-AU" sz="1100" b="0" i="0" u="none" strike="noStrike">
              <a:solidFill>
                <a:schemeClr val="dk1"/>
              </a:solidFill>
              <a:effectLst/>
              <a:latin typeface="+mn-lt"/>
              <a:ea typeface="+mn-ea"/>
              <a:cs typeface="+mn-cs"/>
            </a:rPr>
            <a:t> </a:t>
          </a:r>
          <a:r>
            <a:rPr lang="en-AU" sz="1000"/>
            <a:t> </a:t>
          </a:r>
          <a:r>
            <a:rPr lang="en-AU" sz="1100" b="0" i="0" u="none" strike="noStrike">
              <a:solidFill>
                <a:schemeClr val="dk1"/>
              </a:solidFill>
              <a:effectLst/>
              <a:latin typeface="+mn-lt"/>
              <a:ea typeface="+mn-ea"/>
              <a:cs typeface="+mn-cs"/>
            </a:rPr>
            <a:t> </a:t>
          </a:r>
          <a:r>
            <a:rPr lang="en-AU" sz="1000"/>
            <a:t> </a:t>
          </a:r>
          <a:r>
            <a:rPr lang="en-AU" sz="1100" b="0" i="0" u="none" strike="noStrike">
              <a:solidFill>
                <a:schemeClr val="dk1"/>
              </a:solidFill>
              <a:effectLst/>
              <a:latin typeface="+mn-lt"/>
              <a:ea typeface="+mn-ea"/>
              <a:cs typeface="+mn-cs"/>
            </a:rPr>
            <a:t> </a:t>
          </a:r>
          <a:r>
            <a:rPr lang="en-AU" sz="1000"/>
            <a:t> </a:t>
          </a:r>
          <a:r>
            <a:rPr lang="en-AU" sz="1100" b="0" i="0" u="none" strike="noStrike">
              <a:solidFill>
                <a:schemeClr val="dk1"/>
              </a:solidFill>
              <a:effectLst/>
              <a:latin typeface="+mn-lt"/>
              <a:ea typeface="+mn-ea"/>
              <a:cs typeface="+mn-cs"/>
            </a:rPr>
            <a:t> </a:t>
          </a:r>
          <a:r>
            <a:rPr lang="en-AU" sz="1000"/>
            <a:t> </a:t>
          </a:r>
          <a:r>
            <a:rPr lang="en-AU" sz="1100" b="0" i="0" u="none" strike="noStrike">
              <a:solidFill>
                <a:schemeClr val="dk1"/>
              </a:solidFill>
              <a:effectLst/>
              <a:latin typeface="+mn-lt"/>
              <a:ea typeface="+mn-ea"/>
              <a:cs typeface="+mn-cs"/>
            </a:rPr>
            <a:t> </a:t>
          </a:r>
          <a:r>
            <a:rPr lang="en-AU" sz="1000"/>
            <a:t> </a:t>
          </a:r>
          <a:r>
            <a:rPr lang="en-AU" sz="1100" b="0" i="0" u="none" strike="noStrike">
              <a:solidFill>
                <a:schemeClr val="dk1"/>
              </a:solidFill>
              <a:effectLst/>
              <a:latin typeface="+mn-lt"/>
              <a:ea typeface="+mn-ea"/>
              <a:cs typeface="+mn-cs"/>
            </a:rPr>
            <a:t> </a:t>
          </a:r>
          <a:r>
            <a:rPr lang="en-AU" sz="1000"/>
            <a:t> </a:t>
          </a:r>
          <a:r>
            <a:rPr lang="en-AU" sz="1100" b="0" i="0" u="none" strike="noStrike">
              <a:solidFill>
                <a:schemeClr val="dk1"/>
              </a:solidFill>
              <a:effectLst/>
              <a:latin typeface="+mn-lt"/>
              <a:ea typeface="+mn-ea"/>
              <a:cs typeface="+mn-cs"/>
            </a:rPr>
            <a:t> </a:t>
          </a:r>
          <a:r>
            <a:rPr lang="en-AU" sz="1000"/>
            <a:t> </a:t>
          </a:r>
          <a:r>
            <a:rPr lang="en-AU" sz="1100" b="0" i="0" u="none" strike="noStrike">
              <a:solidFill>
                <a:schemeClr val="dk1"/>
              </a:solidFill>
              <a:effectLst/>
              <a:latin typeface="+mn-lt"/>
              <a:ea typeface="+mn-ea"/>
              <a:cs typeface="+mn-cs"/>
            </a:rPr>
            <a:t> </a:t>
          </a:r>
          <a:r>
            <a:rPr lang="en-AU" sz="1000"/>
            <a:t> </a:t>
          </a:r>
          <a:r>
            <a:rPr lang="en-AU" sz="1100" b="0" i="0" u="none" strike="noStrike">
              <a:solidFill>
                <a:schemeClr val="dk1"/>
              </a:solidFill>
              <a:effectLst/>
              <a:latin typeface="+mn-lt"/>
              <a:ea typeface="+mn-ea"/>
              <a:cs typeface="+mn-cs"/>
            </a:rPr>
            <a:t> </a:t>
          </a:r>
          <a:r>
            <a:rPr lang="en-AU" sz="1000"/>
            <a:t> </a:t>
          </a:r>
          <a:r>
            <a:rPr lang="en-AU" sz="1100" b="0" i="0" u="none" strike="noStrike">
              <a:solidFill>
                <a:schemeClr val="dk1"/>
              </a:solidFill>
              <a:effectLst/>
              <a:latin typeface="+mn-lt"/>
              <a:ea typeface="+mn-ea"/>
              <a:cs typeface="+mn-cs"/>
            </a:rPr>
            <a:t> </a:t>
          </a:r>
          <a:r>
            <a:rPr lang="en-AU" sz="1000"/>
            <a:t> </a:t>
          </a:r>
          <a:r>
            <a:rPr lang="en-AU" sz="1100" b="0" i="0" u="none" strike="noStrike">
              <a:solidFill>
                <a:schemeClr val="dk1"/>
              </a:solidFill>
              <a:effectLst/>
              <a:latin typeface="+mn-lt"/>
              <a:ea typeface="+mn-ea"/>
              <a:cs typeface="+mn-cs"/>
            </a:rPr>
            <a:t> </a:t>
          </a:r>
          <a:r>
            <a:rPr lang="en-AU" sz="1000"/>
            <a:t> </a:t>
          </a:r>
          <a:endParaRPr lang="en-AU" sz="1000">
            <a:latin typeface="Arial" panose="020B0604020202020204" pitchFamily="34" charset="0"/>
            <a:cs typeface="Arial" panose="020B0604020202020204" pitchFamily="34" charset="0"/>
          </a:endParaRPr>
        </a:p>
      </xdr:txBody>
    </xdr:sp>
    <xdr:clientData/>
  </xdr:oneCellAnchor>
  <xdr:oneCellAnchor>
    <xdr:from>
      <xdr:col>15</xdr:col>
      <xdr:colOff>5818</xdr:colOff>
      <xdr:row>32</xdr:row>
      <xdr:rowOff>168686</xdr:rowOff>
    </xdr:from>
    <xdr:ext cx="180321" cy="973973"/>
    <xdr:sp macro="" textlink="">
      <xdr:nvSpPr>
        <xdr:cNvPr id="6" name="TextBox 5">
          <a:extLst>
            <a:ext uri="{FF2B5EF4-FFF2-40B4-BE49-F238E27FC236}">
              <a16:creationId xmlns:a16="http://schemas.microsoft.com/office/drawing/2014/main" id="{5DD6A9AB-D5EC-4707-A8AB-8A996223DA74}"/>
            </a:ext>
          </a:extLst>
        </xdr:cNvPr>
        <xdr:cNvSpPr txBox="1"/>
      </xdr:nvSpPr>
      <xdr:spPr>
        <a:xfrm>
          <a:off x="7899207" y="5904045"/>
          <a:ext cx="180321" cy="9739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lIns="0" tIns="0" rIns="0" bIns="0" rtlCol="0" anchor="t">
          <a:noAutofit/>
        </a:bodyPr>
        <a:lstStyle/>
        <a:p>
          <a:r>
            <a:rPr lang="en-AU" sz="1000">
              <a:latin typeface="Arial" panose="020B0604020202020204" pitchFamily="34" charset="0"/>
              <a:cs typeface="Arial" panose="020B0604020202020204" pitchFamily="34" charset="0"/>
            </a:rPr>
            <a:t>Consequences</a:t>
          </a:r>
          <a:r>
            <a:rPr lang="en-AU" sz="1000"/>
            <a:t> </a:t>
          </a:r>
          <a:endParaRPr lang="en-AU" sz="1000">
            <a:latin typeface="Arial" panose="020B0604020202020204" pitchFamily="34" charset="0"/>
            <a:cs typeface="Arial" panose="020B0604020202020204"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6</xdr:col>
      <xdr:colOff>264795</xdr:colOff>
      <xdr:row>1</xdr:row>
      <xdr:rowOff>110489</xdr:rowOff>
    </xdr:from>
    <xdr:to>
      <xdr:col>13</xdr:col>
      <xdr:colOff>0</xdr:colOff>
      <xdr:row>18</xdr:row>
      <xdr:rowOff>396240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6726555" y="384809"/>
          <a:ext cx="4109085" cy="5810251"/>
        </a:xfrm>
        <a:prstGeom prst="rect">
          <a:avLst/>
        </a:prstGeom>
        <a:solidFill>
          <a:schemeClr val="bg1">
            <a:lumMod val="85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US" sz="1200" b="1" i="0" baseline="0">
              <a:solidFill>
                <a:srgbClr val="FF0000"/>
              </a:solidFill>
              <a:effectLst/>
              <a:latin typeface="+mn-lt"/>
              <a:ea typeface="+mn-ea"/>
              <a:cs typeface="+mn-cs"/>
            </a:rPr>
            <a:t>Instructions</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Define the scope of your vulnerability assessment on this worksheet.</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Use dropdown lists to populate the yellow boxes.  </a:t>
          </a:r>
          <a:r>
            <a:rPr lang="en-US" sz="1200" b="1" i="0" baseline="0">
              <a:solidFill>
                <a:srgbClr val="FF0000"/>
              </a:solidFill>
              <a:effectLst/>
              <a:latin typeface="+mn-lt"/>
              <a:ea typeface="+mn-ea"/>
              <a:cs typeface="+mn-cs"/>
            </a:rPr>
            <a:t>You may need to click and hold the yellow boxes to see the dropdown list.</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Type information into the green boxes.</a:t>
          </a:r>
          <a:endParaRPr lang="en-AU"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The information you enter here is reproduced on the front page of the completed assessment document ('Results section 1').  The information can be changed at any time by returning to this worksheet; the results pages cannot be edited directly.</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The review due date is a suggestion only, both dates can be edited.</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u="sng" baseline="0">
              <a:solidFill>
                <a:srgbClr val="FF0000"/>
              </a:solidFill>
              <a:effectLst/>
              <a:latin typeface="+mn-lt"/>
              <a:ea typeface="+mn-ea"/>
              <a:cs typeface="+mn-cs"/>
            </a:rPr>
            <a:t>Defining the group of materials</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A material group is a family of ingredients, raw materials or products that are of similar composition and have similar supply chain characteristics.  If you are unsure of which materials to include within a group, just start with your best guess.  As you answer questions on the other worksheets it will soon be clear whether you can include more materials within a group or not.  It is simple to expand or reduce the scope after you have started; simply return to this page and add or remove items from the table of materials.</a:t>
          </a:r>
          <a:endParaRPr lang="en-AU" sz="1200">
            <a:solidFill>
              <a:srgbClr val="FF0000"/>
            </a:solidFill>
            <a:effectLst/>
          </a:endParaRPr>
        </a:p>
        <a:p>
          <a:endParaRPr lang="en-AU" sz="1100"/>
        </a:p>
      </xdr:txBody>
    </xdr:sp>
    <xdr:clientData/>
  </xdr:twoCellAnchor>
  <xdr:twoCellAnchor>
    <xdr:from>
      <xdr:col>3</xdr:col>
      <xdr:colOff>30480</xdr:colOff>
      <xdr:row>1</xdr:row>
      <xdr:rowOff>281940</xdr:rowOff>
    </xdr:from>
    <xdr:to>
      <xdr:col>4</xdr:col>
      <xdr:colOff>198120</xdr:colOff>
      <xdr:row>2</xdr:row>
      <xdr:rowOff>106680</xdr:rowOff>
    </xdr:to>
    <xdr:sp macro="" textlink="">
      <xdr:nvSpPr>
        <xdr:cNvPr id="5" name="TextBox 4">
          <a:extLst>
            <a:ext uri="{FF2B5EF4-FFF2-40B4-BE49-F238E27FC236}">
              <a16:creationId xmlns:a16="http://schemas.microsoft.com/office/drawing/2014/main" id="{C360D3B0-D07D-42EF-9058-08F46253F8C4}"/>
            </a:ext>
          </a:extLst>
        </xdr:cNvPr>
        <xdr:cNvSpPr txBox="1"/>
      </xdr:nvSpPr>
      <xdr:spPr>
        <a:xfrm>
          <a:off x="3291840" y="556260"/>
          <a:ext cx="1402080" cy="472440"/>
        </a:xfrm>
        <a:prstGeom prst="rect">
          <a:avLst/>
        </a:prstGeom>
        <a:solidFill>
          <a:schemeClr val="bg1">
            <a:lumMod val="85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200" b="1">
              <a:solidFill>
                <a:srgbClr val="FF0000"/>
              </a:solidFill>
              <a:latin typeface="+mn-lt"/>
            </a:rPr>
            <a:t>click and hold</a:t>
          </a:r>
          <a:r>
            <a:rPr lang="en-AU" sz="1200" b="1" baseline="0">
              <a:solidFill>
                <a:srgbClr val="FF0000"/>
              </a:solidFill>
              <a:latin typeface="+mn-lt"/>
            </a:rPr>
            <a:t> this cell to </a:t>
          </a:r>
          <a:r>
            <a:rPr lang="en-AU" sz="1200" b="1">
              <a:solidFill>
                <a:srgbClr val="FF0000"/>
              </a:solidFill>
              <a:latin typeface="+mn-lt"/>
            </a:rPr>
            <a:t>start</a:t>
          </a:r>
        </a:p>
      </xdr:txBody>
    </xdr:sp>
    <xdr:clientData/>
  </xdr:twoCellAnchor>
  <xdr:twoCellAnchor>
    <xdr:from>
      <xdr:col>4</xdr:col>
      <xdr:colOff>922021</xdr:colOff>
      <xdr:row>1</xdr:row>
      <xdr:rowOff>38101</xdr:rowOff>
    </xdr:from>
    <xdr:to>
      <xdr:col>5</xdr:col>
      <xdr:colOff>419100</xdr:colOff>
      <xdr:row>2</xdr:row>
      <xdr:rowOff>121920</xdr:rowOff>
    </xdr:to>
    <xdr:sp macro="" textlink="">
      <xdr:nvSpPr>
        <xdr:cNvPr id="6" name="TextBox 5">
          <a:extLst>
            <a:ext uri="{FF2B5EF4-FFF2-40B4-BE49-F238E27FC236}">
              <a16:creationId xmlns:a16="http://schemas.microsoft.com/office/drawing/2014/main" id="{F3486598-62B7-4CEC-BA80-465C9E762092}"/>
            </a:ext>
          </a:extLst>
        </xdr:cNvPr>
        <xdr:cNvSpPr txBox="1"/>
      </xdr:nvSpPr>
      <xdr:spPr>
        <a:xfrm>
          <a:off x="5417821" y="541021"/>
          <a:ext cx="838199" cy="731519"/>
        </a:xfrm>
        <a:prstGeom prst="rect">
          <a:avLst/>
        </a:prstGeom>
        <a:solidFill>
          <a:schemeClr val="bg1">
            <a:lumMod val="85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1">
              <a:solidFill>
                <a:srgbClr val="FF0000"/>
              </a:solidFill>
              <a:latin typeface="Calibri" panose="020F0502020204030204" pitchFamily="34" charset="0"/>
            </a:rPr>
            <a:t>then click</a:t>
          </a:r>
          <a:r>
            <a:rPr lang="en-AU" sz="900" b="1" baseline="0">
              <a:solidFill>
                <a:srgbClr val="FF0000"/>
              </a:solidFill>
              <a:latin typeface="Calibri" panose="020F0502020204030204" pitchFamily="34" charset="0"/>
            </a:rPr>
            <a:t> on the arrows that appear here</a:t>
          </a:r>
          <a:endParaRPr lang="en-AU" sz="1200" b="1">
            <a:solidFill>
              <a:srgbClr val="FF0000"/>
            </a:solidFill>
            <a:latin typeface="Calibri" panose="020F0502020204030204" pitchFamily="34" charset="0"/>
          </a:endParaRPr>
        </a:p>
      </xdr:txBody>
    </xdr:sp>
    <xdr:clientData/>
  </xdr:twoCellAnchor>
  <xdr:twoCellAnchor>
    <xdr:from>
      <xdr:col>3</xdr:col>
      <xdr:colOff>822960</xdr:colOff>
      <xdr:row>1</xdr:row>
      <xdr:rowOff>571500</xdr:rowOff>
    </xdr:from>
    <xdr:to>
      <xdr:col>3</xdr:col>
      <xdr:colOff>1059180</xdr:colOff>
      <xdr:row>3</xdr:row>
      <xdr:rowOff>87630</xdr:rowOff>
    </xdr:to>
    <xdr:sp macro="" textlink="">
      <xdr:nvSpPr>
        <xdr:cNvPr id="4" name="Down Arrow 3">
          <a:extLst>
            <a:ext uri="{FF2B5EF4-FFF2-40B4-BE49-F238E27FC236}">
              <a16:creationId xmlns:a16="http://schemas.microsoft.com/office/drawing/2014/main" id="{00000000-0008-0000-0100-000004000000}"/>
            </a:ext>
          </a:extLst>
        </xdr:cNvPr>
        <xdr:cNvSpPr/>
      </xdr:nvSpPr>
      <xdr:spPr>
        <a:xfrm>
          <a:off x="4084320" y="1074420"/>
          <a:ext cx="236220" cy="331470"/>
        </a:xfrm>
        <a:prstGeom prst="downArrow">
          <a:avLst/>
        </a:prstGeom>
        <a:solidFill>
          <a:schemeClr val="bg1">
            <a:lumMod val="85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4</xdr:col>
      <xdr:colOff>1303020</xdr:colOff>
      <xdr:row>1</xdr:row>
      <xdr:rowOff>579120</xdr:rowOff>
    </xdr:from>
    <xdr:to>
      <xdr:col>5</xdr:col>
      <xdr:colOff>190500</xdr:colOff>
      <xdr:row>3</xdr:row>
      <xdr:rowOff>251460</xdr:rowOff>
    </xdr:to>
    <xdr:sp macro="" textlink="">
      <xdr:nvSpPr>
        <xdr:cNvPr id="7" name="Down Arrow 3">
          <a:extLst>
            <a:ext uri="{FF2B5EF4-FFF2-40B4-BE49-F238E27FC236}">
              <a16:creationId xmlns:a16="http://schemas.microsoft.com/office/drawing/2014/main" id="{B804E26A-D5AF-43DD-AAE2-333540E762C3}"/>
            </a:ext>
          </a:extLst>
        </xdr:cNvPr>
        <xdr:cNvSpPr/>
      </xdr:nvSpPr>
      <xdr:spPr>
        <a:xfrm>
          <a:off x="5798820" y="1082040"/>
          <a:ext cx="228600" cy="487680"/>
        </a:xfrm>
        <a:prstGeom prst="downArrow">
          <a:avLst/>
        </a:prstGeom>
        <a:solidFill>
          <a:schemeClr val="bg1">
            <a:lumMod val="85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6</xdr:col>
      <xdr:colOff>251461</xdr:colOff>
      <xdr:row>19</xdr:row>
      <xdr:rowOff>22861</xdr:rowOff>
    </xdr:from>
    <xdr:to>
      <xdr:col>13</xdr:col>
      <xdr:colOff>30480</xdr:colOff>
      <xdr:row>26</xdr:row>
      <xdr:rowOff>121920</xdr:rowOff>
    </xdr:to>
    <xdr:sp macro="" textlink="">
      <xdr:nvSpPr>
        <xdr:cNvPr id="9" name="TextBox 8">
          <a:extLst>
            <a:ext uri="{FF2B5EF4-FFF2-40B4-BE49-F238E27FC236}">
              <a16:creationId xmlns:a16="http://schemas.microsoft.com/office/drawing/2014/main" id="{71FAB4BC-58D5-4BA3-9F65-71E9ED343F64}"/>
            </a:ext>
          </a:extLst>
        </xdr:cNvPr>
        <xdr:cNvSpPr txBox="1"/>
      </xdr:nvSpPr>
      <xdr:spPr>
        <a:xfrm>
          <a:off x="6713221" y="6286501"/>
          <a:ext cx="4152899" cy="1950719"/>
        </a:xfrm>
        <a:prstGeom prst="rect">
          <a:avLst/>
        </a:prstGeom>
        <a:solidFill>
          <a:schemeClr val="bg1">
            <a:lumMod val="85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AU" sz="1200" b="0" i="0" u="sng" baseline="0">
              <a:solidFill>
                <a:srgbClr val="FF0000"/>
              </a:solidFill>
              <a:effectLst/>
              <a:latin typeface="+mn-lt"/>
              <a:ea typeface="+mn-ea"/>
              <a:cs typeface="+mn-cs"/>
            </a:rPr>
            <a:t>Creating a list of products that contain the ingredient</a:t>
          </a:r>
        </a:p>
        <a:p>
          <a:endParaRPr lang="en-AU" sz="1100"/>
        </a:p>
        <a:p>
          <a:r>
            <a:rPr lang="en-AU" sz="1200" b="0" i="0" baseline="0">
              <a:solidFill>
                <a:srgbClr val="FF0000"/>
              </a:solidFill>
              <a:effectLst/>
              <a:latin typeface="+mn-lt"/>
              <a:ea typeface="+mn-ea"/>
              <a:cs typeface="+mn-cs"/>
            </a:rPr>
            <a:t>If you are performing a vulnerability assessment on an ingredient or raw material it is not neccessary to create a detailed list of products that contain the material.  However, when answering questions on the 'Consequences worksheet' you may find it helpful.  This depends on the material and how widely it is used within your product ranges. </a:t>
          </a:r>
        </a:p>
      </xdr:txBody>
    </xdr:sp>
    <xdr:clientData/>
  </xdr:twoCellAnchor>
  <xdr:twoCellAnchor>
    <xdr:from>
      <xdr:col>4</xdr:col>
      <xdr:colOff>1295400</xdr:colOff>
      <xdr:row>3</xdr:row>
      <xdr:rowOff>396240</xdr:rowOff>
    </xdr:from>
    <xdr:to>
      <xdr:col>5</xdr:col>
      <xdr:colOff>175260</xdr:colOff>
      <xdr:row>4</xdr:row>
      <xdr:rowOff>304800</xdr:rowOff>
    </xdr:to>
    <xdr:sp macro="" textlink="">
      <xdr:nvSpPr>
        <xdr:cNvPr id="10" name="Down Arrow 3">
          <a:extLst>
            <a:ext uri="{FF2B5EF4-FFF2-40B4-BE49-F238E27FC236}">
              <a16:creationId xmlns:a16="http://schemas.microsoft.com/office/drawing/2014/main" id="{92BC8648-727B-45CC-8846-FF0ED8E3EE46}"/>
            </a:ext>
          </a:extLst>
        </xdr:cNvPr>
        <xdr:cNvSpPr/>
      </xdr:nvSpPr>
      <xdr:spPr>
        <a:xfrm>
          <a:off x="5791200" y="1485900"/>
          <a:ext cx="220980" cy="320040"/>
        </a:xfrm>
        <a:prstGeom prst="downArrow">
          <a:avLst/>
        </a:prstGeom>
        <a:solidFill>
          <a:schemeClr val="bg1">
            <a:lumMod val="85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1380822</xdr:colOff>
      <xdr:row>8</xdr:row>
      <xdr:rowOff>63471</xdr:rowOff>
    </xdr:from>
    <xdr:to>
      <xdr:col>9</xdr:col>
      <xdr:colOff>5832811</xdr:colOff>
      <xdr:row>17</xdr:row>
      <xdr:rowOff>67733</xdr:rowOff>
    </xdr:to>
    <xdr:sp macro="" textlink="">
      <xdr:nvSpPr>
        <xdr:cNvPr id="2" name="TextBox 1">
          <a:extLst>
            <a:ext uri="{FF2B5EF4-FFF2-40B4-BE49-F238E27FC236}">
              <a16:creationId xmlns:a16="http://schemas.microsoft.com/office/drawing/2014/main" id="{F11FADAA-44B2-44F7-B39A-473E71E3D36A}"/>
            </a:ext>
          </a:extLst>
        </xdr:cNvPr>
        <xdr:cNvSpPr txBox="1"/>
      </xdr:nvSpPr>
      <xdr:spPr>
        <a:xfrm>
          <a:off x="9034689" y="1189538"/>
          <a:ext cx="4451989" cy="5185862"/>
        </a:xfrm>
        <a:prstGeom prst="rect">
          <a:avLst/>
        </a:prstGeom>
        <a:solidFill>
          <a:schemeClr val="bg1">
            <a:lumMod val="85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US" sz="1200" b="1" i="0" baseline="0">
              <a:solidFill>
                <a:srgbClr val="FF0000"/>
              </a:solidFill>
              <a:effectLst/>
              <a:latin typeface="+mn-lt"/>
              <a:ea typeface="+mn-ea"/>
              <a:cs typeface="+mn-cs"/>
            </a:rPr>
            <a:t>Likelihood worksheet instructions</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Use this worksheet to help assess the likelihood that food fraud will affect this material.</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You can enter information into the white cells.  The blue cells cannot be edited.</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Read the question in column 3 of the table, then choose an answer by clicking on the cell in column 5 and choosing from the dropdown list.</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Add comments that support your answer or provide more information (optional).</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The information in the results column and the comments you enter are reproduced in the printable vulnerability assessment document ('Results section 2').  The information in the results page can be changed at any time by returning to </a:t>
          </a:r>
          <a:r>
            <a:rPr lang="en-US" sz="1200" b="1" i="0" baseline="0">
              <a:solidFill>
                <a:srgbClr val="FF0000"/>
              </a:solidFill>
              <a:effectLst/>
              <a:latin typeface="+mn-lt"/>
              <a:ea typeface="+mn-ea"/>
              <a:cs typeface="+mn-cs"/>
            </a:rPr>
            <a:t>this</a:t>
          </a:r>
          <a:r>
            <a:rPr lang="en-US" sz="1200" b="0" i="0" baseline="0">
              <a:solidFill>
                <a:srgbClr val="FF0000"/>
              </a:solidFill>
              <a:effectLst/>
              <a:latin typeface="+mn-lt"/>
              <a:ea typeface="+mn-ea"/>
              <a:cs typeface="+mn-cs"/>
            </a:rPr>
            <a:t> sheet; the printable results pages cannot be edited directly.</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For help with the questions, click on the links in the 'Help' column.  </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Delete this text box or drag it off-screen if you wish to enter comments.</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xdr:txBody>
    </xdr:sp>
    <xdr:clientData/>
  </xdr:twoCellAnchor>
  <xdr:twoCellAnchor>
    <xdr:from>
      <xdr:col>5</xdr:col>
      <xdr:colOff>476251</xdr:colOff>
      <xdr:row>2</xdr:row>
      <xdr:rowOff>85725</xdr:rowOff>
    </xdr:from>
    <xdr:to>
      <xdr:col>5</xdr:col>
      <xdr:colOff>1066801</xdr:colOff>
      <xdr:row>8</xdr:row>
      <xdr:rowOff>190500</xdr:rowOff>
    </xdr:to>
    <xdr:sp macro="" textlink="">
      <xdr:nvSpPr>
        <xdr:cNvPr id="3" name="TextBox 2">
          <a:extLst>
            <a:ext uri="{FF2B5EF4-FFF2-40B4-BE49-F238E27FC236}">
              <a16:creationId xmlns:a16="http://schemas.microsoft.com/office/drawing/2014/main" id="{EA01FEFD-0269-4B08-9C83-726D56325EA0}"/>
            </a:ext>
          </a:extLst>
        </xdr:cNvPr>
        <xdr:cNvSpPr txBox="1"/>
      </xdr:nvSpPr>
      <xdr:spPr>
        <a:xfrm>
          <a:off x="4118611" y="451485"/>
          <a:ext cx="590550" cy="882015"/>
        </a:xfrm>
        <a:prstGeom prst="rect">
          <a:avLst/>
        </a:prstGeom>
        <a:solidFill>
          <a:schemeClr val="bg1">
            <a:lumMod val="85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200" b="1">
              <a:solidFill>
                <a:srgbClr val="FF0000"/>
              </a:solidFill>
              <a:latin typeface="+mn-lt"/>
            </a:rPr>
            <a:t>click</a:t>
          </a:r>
          <a:r>
            <a:rPr lang="en-AU" sz="1200" b="1" baseline="0">
              <a:solidFill>
                <a:srgbClr val="FF0000"/>
              </a:solidFill>
              <a:latin typeface="+mn-lt"/>
            </a:rPr>
            <a:t> this cell to </a:t>
          </a:r>
          <a:r>
            <a:rPr lang="en-AU" sz="1200" b="1">
              <a:solidFill>
                <a:srgbClr val="FF0000"/>
              </a:solidFill>
              <a:latin typeface="+mn-lt"/>
            </a:rPr>
            <a:t>start</a:t>
          </a:r>
        </a:p>
      </xdr:txBody>
    </xdr:sp>
    <xdr:clientData/>
  </xdr:twoCellAnchor>
  <xdr:twoCellAnchor>
    <xdr:from>
      <xdr:col>5</xdr:col>
      <xdr:colOff>657225</xdr:colOff>
      <xdr:row>8</xdr:row>
      <xdr:rowOff>238125</xdr:rowOff>
    </xdr:from>
    <xdr:to>
      <xdr:col>5</xdr:col>
      <xdr:colOff>819150</xdr:colOff>
      <xdr:row>9</xdr:row>
      <xdr:rowOff>76200</xdr:rowOff>
    </xdr:to>
    <xdr:sp macro="" textlink="">
      <xdr:nvSpPr>
        <xdr:cNvPr id="4" name="Down Arrow 3">
          <a:extLst>
            <a:ext uri="{FF2B5EF4-FFF2-40B4-BE49-F238E27FC236}">
              <a16:creationId xmlns:a16="http://schemas.microsoft.com/office/drawing/2014/main" id="{218D928C-7E60-445A-9585-8FF74367CAC4}"/>
            </a:ext>
          </a:extLst>
        </xdr:cNvPr>
        <xdr:cNvSpPr/>
      </xdr:nvSpPr>
      <xdr:spPr>
        <a:xfrm>
          <a:off x="4299585" y="1381125"/>
          <a:ext cx="161925" cy="234315"/>
        </a:xfrm>
        <a:prstGeom prst="downArrow">
          <a:avLst/>
        </a:prstGeom>
        <a:solidFill>
          <a:schemeClr val="bg1">
            <a:lumMod val="85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5</xdr:col>
      <xdr:colOff>1096877</xdr:colOff>
      <xdr:row>2</xdr:row>
      <xdr:rowOff>222986</xdr:rowOff>
    </xdr:from>
    <xdr:to>
      <xdr:col>8</xdr:col>
      <xdr:colOff>807509</xdr:colOff>
      <xdr:row>9</xdr:row>
      <xdr:rowOff>149752</xdr:rowOff>
    </xdr:to>
    <xdr:sp macro="" textlink="">
      <xdr:nvSpPr>
        <xdr:cNvPr id="5" name="TextBox 4">
          <a:extLst>
            <a:ext uri="{FF2B5EF4-FFF2-40B4-BE49-F238E27FC236}">
              <a16:creationId xmlns:a16="http://schemas.microsoft.com/office/drawing/2014/main" id="{2F4D0DC1-2E18-47E5-AB9E-4F04C8E4DD82}"/>
            </a:ext>
          </a:extLst>
        </xdr:cNvPr>
        <xdr:cNvSpPr txBox="1"/>
      </xdr:nvSpPr>
      <xdr:spPr>
        <a:xfrm>
          <a:off x="5491077" y="587053"/>
          <a:ext cx="870565" cy="1086699"/>
        </a:xfrm>
        <a:prstGeom prst="rect">
          <a:avLst/>
        </a:prstGeom>
        <a:solidFill>
          <a:schemeClr val="bg1">
            <a:lumMod val="85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200" b="1">
              <a:solidFill>
                <a:srgbClr val="FF0000"/>
              </a:solidFill>
              <a:latin typeface="Calibri" panose="020F0502020204030204" pitchFamily="34" charset="0"/>
            </a:rPr>
            <a:t>then click</a:t>
          </a:r>
          <a:r>
            <a:rPr lang="en-AU" sz="1200" b="1" baseline="0">
              <a:solidFill>
                <a:srgbClr val="FF0000"/>
              </a:solidFill>
              <a:latin typeface="Calibri" panose="020F0502020204030204" pitchFamily="34" charset="0"/>
            </a:rPr>
            <a:t> on the arrow that appears here</a:t>
          </a:r>
          <a:endParaRPr lang="en-AU" sz="1200" b="1">
            <a:solidFill>
              <a:srgbClr val="FF0000"/>
            </a:solidFill>
            <a:latin typeface="Calibri" panose="020F0502020204030204" pitchFamily="34" charset="0"/>
          </a:endParaRPr>
        </a:p>
      </xdr:txBody>
    </xdr:sp>
    <xdr:clientData/>
  </xdr:twoCellAnchor>
  <xdr:twoCellAnchor>
    <xdr:from>
      <xdr:col>5</xdr:col>
      <xdr:colOff>657225</xdr:colOff>
      <xdr:row>8</xdr:row>
      <xdr:rowOff>238125</xdr:rowOff>
    </xdr:from>
    <xdr:to>
      <xdr:col>5</xdr:col>
      <xdr:colOff>819150</xdr:colOff>
      <xdr:row>9</xdr:row>
      <xdr:rowOff>76200</xdr:rowOff>
    </xdr:to>
    <xdr:sp macro="" textlink="">
      <xdr:nvSpPr>
        <xdr:cNvPr id="7" name="Down Arrow 3">
          <a:extLst>
            <a:ext uri="{FF2B5EF4-FFF2-40B4-BE49-F238E27FC236}">
              <a16:creationId xmlns:a16="http://schemas.microsoft.com/office/drawing/2014/main" id="{B50B9CC0-8E32-4AD7-B2E9-9966DA92B755}"/>
            </a:ext>
          </a:extLst>
        </xdr:cNvPr>
        <xdr:cNvSpPr/>
      </xdr:nvSpPr>
      <xdr:spPr>
        <a:xfrm>
          <a:off x="4299585" y="1381125"/>
          <a:ext cx="161925" cy="234315"/>
        </a:xfrm>
        <a:prstGeom prst="downArrow">
          <a:avLst/>
        </a:prstGeom>
        <a:solidFill>
          <a:schemeClr val="bg1">
            <a:lumMod val="85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5</xdr:col>
      <xdr:colOff>1143528</xdr:colOff>
      <xdr:row>9</xdr:row>
      <xdr:rowOff>76199</xdr:rowOff>
    </xdr:from>
    <xdr:to>
      <xdr:col>8</xdr:col>
      <xdr:colOff>237066</xdr:colOff>
      <xdr:row>9</xdr:row>
      <xdr:rowOff>304800</xdr:rowOff>
    </xdr:to>
    <xdr:sp macro="" textlink="">
      <xdr:nvSpPr>
        <xdr:cNvPr id="8" name="Down Arrow 5">
          <a:extLst>
            <a:ext uri="{FF2B5EF4-FFF2-40B4-BE49-F238E27FC236}">
              <a16:creationId xmlns:a16="http://schemas.microsoft.com/office/drawing/2014/main" id="{EC307737-9D42-46E5-8F81-3C9B41C72AB2}"/>
            </a:ext>
          </a:extLst>
        </xdr:cNvPr>
        <xdr:cNvSpPr/>
      </xdr:nvSpPr>
      <xdr:spPr>
        <a:xfrm>
          <a:off x="5537728" y="1600199"/>
          <a:ext cx="253471" cy="228601"/>
        </a:xfrm>
        <a:prstGeom prst="downArrow">
          <a:avLst/>
        </a:prstGeom>
        <a:solidFill>
          <a:schemeClr val="bg1">
            <a:lumMod val="85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mc:AlternateContent xmlns:mc="http://schemas.openxmlformats.org/markup-compatibility/2006">
    <mc:Choice xmlns:a14="http://schemas.microsoft.com/office/drawing/2010/main" Requires="a14">
      <xdr:twoCellAnchor editAs="oneCell">
        <xdr:from>
          <xdr:col>8</xdr:col>
          <xdr:colOff>779577</xdr:colOff>
          <xdr:row>0</xdr:row>
          <xdr:rowOff>0</xdr:rowOff>
        </xdr:from>
        <xdr:to>
          <xdr:col>9</xdr:col>
          <xdr:colOff>9956</xdr:colOff>
          <xdr:row>8</xdr:row>
          <xdr:rowOff>113579</xdr:rowOff>
        </xdr:to>
        <xdr:pic>
          <xdr:nvPicPr>
            <xdr:cNvPr id="13" name="Picture 12">
              <a:extLst>
                <a:ext uri="{FF2B5EF4-FFF2-40B4-BE49-F238E27FC236}">
                  <a16:creationId xmlns:a16="http://schemas.microsoft.com/office/drawing/2014/main" id="{5B626A30-01F7-4FBB-A0ED-768FE9CA946C}"/>
                </a:ext>
              </a:extLst>
            </xdr:cNvPr>
            <xdr:cNvPicPr>
              <a:picLocks noChangeAspect="1" noChangeArrowheads="1"/>
              <a:extLst>
                <a:ext uri="{84589F7E-364E-4C9E-8A38-B11213B215E9}">
                  <a14:cameraTool cellRange="riskmatrix" spid="_x0000_s3840"/>
                </a:ext>
              </a:extLst>
            </xdr:cNvPicPr>
          </xdr:nvPicPr>
          <xdr:blipFill>
            <a:blip xmlns:r="http://schemas.openxmlformats.org/officeDocument/2006/relationships" r:embed="rId1"/>
            <a:srcRect/>
            <a:stretch>
              <a:fillRect/>
            </a:stretch>
          </xdr:blipFill>
          <xdr:spPr bwMode="auto">
            <a:xfrm>
              <a:off x="5854497" y="0"/>
              <a:ext cx="1325880" cy="1256579"/>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5</xdr:col>
      <xdr:colOff>1048644</xdr:colOff>
      <xdr:row>9</xdr:row>
      <xdr:rowOff>270588</xdr:rowOff>
    </xdr:from>
    <xdr:to>
      <xdr:col>8</xdr:col>
      <xdr:colOff>217714</xdr:colOff>
      <xdr:row>9</xdr:row>
      <xdr:rowOff>769776</xdr:rowOff>
    </xdr:to>
    <xdr:sp macro="" textlink="">
      <xdr:nvSpPr>
        <xdr:cNvPr id="2" name="Down Arrow 3">
          <a:extLst>
            <a:ext uri="{FF2B5EF4-FFF2-40B4-BE49-F238E27FC236}">
              <a16:creationId xmlns:a16="http://schemas.microsoft.com/office/drawing/2014/main" id="{CA7E03CC-615C-4E60-B8EC-E8CC87A9F6EC}"/>
            </a:ext>
          </a:extLst>
        </xdr:cNvPr>
        <xdr:cNvSpPr/>
      </xdr:nvSpPr>
      <xdr:spPr>
        <a:xfrm>
          <a:off x="4959286" y="1794588"/>
          <a:ext cx="3467900" cy="499188"/>
        </a:xfrm>
        <a:prstGeom prst="downArrow">
          <a:avLst/>
        </a:prstGeom>
        <a:solidFill>
          <a:schemeClr val="bg1">
            <a:lumMod val="85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9</xdr:col>
      <xdr:colOff>1138989</xdr:colOff>
      <xdr:row>4</xdr:row>
      <xdr:rowOff>24064</xdr:rowOff>
    </xdr:from>
    <xdr:to>
      <xdr:col>9</xdr:col>
      <xdr:colOff>5782235</xdr:colOff>
      <xdr:row>13</xdr:row>
      <xdr:rowOff>773207</xdr:rowOff>
    </xdr:to>
    <xdr:sp macro="" textlink="">
      <xdr:nvSpPr>
        <xdr:cNvPr id="3" name="TextBox 2">
          <a:extLst>
            <a:ext uri="{FF2B5EF4-FFF2-40B4-BE49-F238E27FC236}">
              <a16:creationId xmlns:a16="http://schemas.microsoft.com/office/drawing/2014/main" id="{13BF5D92-76A8-4BD5-BBE1-89980E647DE0}"/>
            </a:ext>
          </a:extLst>
        </xdr:cNvPr>
        <xdr:cNvSpPr txBox="1"/>
      </xdr:nvSpPr>
      <xdr:spPr>
        <a:xfrm>
          <a:off x="11437195" y="875711"/>
          <a:ext cx="4643246" cy="5231496"/>
        </a:xfrm>
        <a:prstGeom prst="rect">
          <a:avLst/>
        </a:prstGeom>
        <a:solidFill>
          <a:schemeClr val="bg1">
            <a:lumMod val="85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US" sz="1200" b="1" i="0" baseline="0">
              <a:solidFill>
                <a:srgbClr val="FF0000"/>
              </a:solidFill>
              <a:effectLst/>
              <a:latin typeface="+mn-lt"/>
              <a:ea typeface="+mn-ea"/>
              <a:cs typeface="+mn-cs"/>
            </a:rPr>
            <a:t>Consequences worksheet instructions</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Use this worksheet to help assess the consequences if food fraud affected this material.</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You can enter information into the white cells.  The coloured cells cannot be edited.</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Read the question in column 3 of the table, then choose an answer by clicking on the cell in column 5 and choosing from the dropdown list.</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Add comments that support your answer or provide more information (optional).</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If you wish to copy the answers from another excel file, that will work fine.</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The information in the results column and the comments you enter are reproduced in the printable vulnerability assessment document ('Results section 2').  The information in the results page can be changed at any time by returning to this sheet; the printable results pages cannot be edited directly.</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For help with the questions, click on the links in the 'Help' column.  </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Delete this text box or drag it off-screen if you wish to enter comments.</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oneCell">
        <xdr:from>
          <xdr:col>8</xdr:col>
          <xdr:colOff>777080</xdr:colOff>
          <xdr:row>0</xdr:row>
          <xdr:rowOff>8325</xdr:rowOff>
        </xdr:from>
        <xdr:to>
          <xdr:col>9</xdr:col>
          <xdr:colOff>9384</xdr:colOff>
          <xdr:row>8</xdr:row>
          <xdr:rowOff>151412</xdr:rowOff>
        </xdr:to>
        <xdr:pic>
          <xdr:nvPicPr>
            <xdr:cNvPr id="4" name="Picture 3">
              <a:extLst>
                <a:ext uri="{FF2B5EF4-FFF2-40B4-BE49-F238E27FC236}">
                  <a16:creationId xmlns:a16="http://schemas.microsoft.com/office/drawing/2014/main" id="{ABECC516-702E-4E02-992B-EC8C0A3F3569}"/>
                </a:ext>
              </a:extLst>
            </xdr:cNvPr>
            <xdr:cNvPicPr>
              <a:picLocks noChangeAspect="1" noChangeArrowheads="1"/>
              <a:extLst>
                <a:ext uri="{84589F7E-364E-4C9E-8A38-B11213B215E9}">
                  <a14:cameraTool cellRange="riskmatrix" spid="_x0000_s4788"/>
                </a:ext>
              </a:extLst>
            </xdr:cNvPicPr>
          </xdr:nvPicPr>
          <xdr:blipFill>
            <a:blip xmlns:r="http://schemas.openxmlformats.org/officeDocument/2006/relationships" r:embed="rId1"/>
            <a:srcRect/>
            <a:stretch>
              <a:fillRect/>
            </a:stretch>
          </xdr:blipFill>
          <xdr:spPr bwMode="auto">
            <a:xfrm>
              <a:off x="5849383" y="8325"/>
              <a:ext cx="1325880" cy="1274542"/>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5</xdr:col>
      <xdr:colOff>823576</xdr:colOff>
      <xdr:row>8</xdr:row>
      <xdr:rowOff>107756</xdr:rowOff>
    </xdr:from>
    <xdr:to>
      <xdr:col>8</xdr:col>
      <xdr:colOff>238606</xdr:colOff>
      <xdr:row>9</xdr:row>
      <xdr:rowOff>215514</xdr:rowOff>
    </xdr:to>
    <xdr:sp macro="" textlink="">
      <xdr:nvSpPr>
        <xdr:cNvPr id="5" name="TextBox 4">
          <a:extLst>
            <a:ext uri="{FF2B5EF4-FFF2-40B4-BE49-F238E27FC236}">
              <a16:creationId xmlns:a16="http://schemas.microsoft.com/office/drawing/2014/main" id="{C80B36E4-17AB-471D-A73E-DBB9884DACBD}"/>
            </a:ext>
          </a:extLst>
        </xdr:cNvPr>
        <xdr:cNvSpPr txBox="1"/>
      </xdr:nvSpPr>
      <xdr:spPr>
        <a:xfrm>
          <a:off x="4741334" y="1239211"/>
          <a:ext cx="569575" cy="500303"/>
        </a:xfrm>
        <a:prstGeom prst="rect">
          <a:avLst/>
        </a:prstGeom>
        <a:solidFill>
          <a:schemeClr val="bg1">
            <a:lumMod val="85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200" b="1">
              <a:solidFill>
                <a:srgbClr val="FF0000"/>
              </a:solidFill>
              <a:latin typeface="+mn-lt"/>
            </a:rPr>
            <a:t>start here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180975</xdr:colOff>
      <xdr:row>0</xdr:row>
      <xdr:rowOff>133350</xdr:rowOff>
    </xdr:from>
    <xdr:to>
      <xdr:col>13</xdr:col>
      <xdr:colOff>581025</xdr:colOff>
      <xdr:row>14</xdr:row>
      <xdr:rowOff>220980</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6657975" y="133350"/>
          <a:ext cx="4773930" cy="4857750"/>
        </a:xfrm>
        <a:prstGeom prst="rect">
          <a:avLst/>
        </a:prstGeom>
        <a:solidFill>
          <a:schemeClr val="bg1">
            <a:lumMod val="85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US" sz="1200" b="1" i="0" baseline="0">
              <a:solidFill>
                <a:srgbClr val="FF0000"/>
              </a:solidFill>
              <a:effectLst/>
              <a:latin typeface="+mn-lt"/>
              <a:ea typeface="+mn-ea"/>
              <a:cs typeface="+mn-cs"/>
            </a:rPr>
            <a:t>Vulnerability assessment document, section 1: purpose and scope</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This is the first page of your completed vulnerability assessment document.  </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If you have performed an initial screening, this is the only page of your assessment; scroll down to see the initial screening results.   </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The information on this page can be printed to paper, exported to pdf or you can copy and paste the results into a larger document.  Be sure to add document control features including page numbers, document identification and date or version number. </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If you are pasting the results from this sheet into a new excel document use the 'Paste special' function, then choose 'values' to avoid copying formulas that will look strange in the new spreadsheet. </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This sheet cannot be edited.  If you wish to change any details, return to the </a:t>
          </a:r>
          <a:r>
            <a:rPr lang="en-US" sz="1200" b="0" i="1" baseline="0">
              <a:solidFill>
                <a:srgbClr val="FF0000"/>
              </a:solidFill>
              <a:effectLst/>
              <a:latin typeface="+mn-lt"/>
              <a:ea typeface="+mn-ea"/>
              <a:cs typeface="+mn-cs"/>
            </a:rPr>
            <a:t>Scope worksheet</a:t>
          </a:r>
          <a:r>
            <a:rPr lang="en-US" sz="1200" b="0" i="0" baseline="0">
              <a:solidFill>
                <a:srgbClr val="FF0000"/>
              </a:solidFill>
              <a:effectLst/>
              <a:latin typeface="+mn-lt"/>
              <a:ea typeface="+mn-ea"/>
              <a:cs typeface="+mn-cs"/>
            </a:rPr>
            <a:t>.  </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If the title of this page is incorrect ('Initial Screening rather than 'Vulnerability Assessment'), check the information in the yellow boxes in the </a:t>
          </a:r>
          <a:r>
            <a:rPr lang="en-US" sz="1200" b="0" i="1" baseline="0">
              <a:solidFill>
                <a:srgbClr val="FF0000"/>
              </a:solidFill>
              <a:effectLst/>
              <a:latin typeface="+mn-lt"/>
              <a:ea typeface="+mn-ea"/>
              <a:cs typeface="+mn-cs"/>
            </a:rPr>
            <a:t>Scope worksheet</a:t>
          </a:r>
          <a:r>
            <a:rPr lang="en-US" sz="1200" b="0" i="0" baseline="0">
              <a:solidFill>
                <a:srgbClr val="FF0000"/>
              </a:solidFill>
              <a:effectLst/>
              <a:latin typeface="+mn-lt"/>
              <a:ea typeface="+mn-ea"/>
              <a:cs typeface="+mn-cs"/>
            </a:rPr>
            <a:t>.</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Delete this text box prior to printing.</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371476</xdr:colOff>
      <xdr:row>0</xdr:row>
      <xdr:rowOff>171452</xdr:rowOff>
    </xdr:from>
    <xdr:to>
      <xdr:col>17</xdr:col>
      <xdr:colOff>971551</xdr:colOff>
      <xdr:row>13</xdr:row>
      <xdr:rowOff>276331</xdr:rowOff>
    </xdr:to>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6902905" y="171452"/>
          <a:ext cx="4761767" cy="4073978"/>
        </a:xfrm>
        <a:prstGeom prst="rect">
          <a:avLst/>
        </a:prstGeom>
        <a:solidFill>
          <a:schemeClr val="bg1">
            <a:lumMod val="85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US" sz="1200" b="1" i="0" baseline="0">
              <a:solidFill>
                <a:srgbClr val="FF0000"/>
              </a:solidFill>
              <a:effectLst/>
              <a:latin typeface="+mn-lt"/>
              <a:ea typeface="+mn-ea"/>
              <a:cs typeface="+mn-cs"/>
            </a:rPr>
            <a:t>Vulnerability assessment document: results</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This is the second part of your completed vulnerability assessment document.  </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The information here can be edited by returning to the </a:t>
          </a:r>
          <a:r>
            <a:rPr lang="en-US" sz="1200" b="0" i="1" baseline="0">
              <a:solidFill>
                <a:srgbClr val="FF0000"/>
              </a:solidFill>
              <a:effectLst/>
              <a:latin typeface="+mn-lt"/>
              <a:ea typeface="+mn-ea"/>
              <a:cs typeface="+mn-cs"/>
            </a:rPr>
            <a:t>Likelihood worksheet</a:t>
          </a:r>
          <a:r>
            <a:rPr lang="en-US" sz="1200" b="0" i="0" baseline="0">
              <a:solidFill>
                <a:srgbClr val="FF0000"/>
              </a:solidFill>
              <a:effectLst/>
              <a:latin typeface="+mn-lt"/>
              <a:ea typeface="+mn-ea"/>
              <a:cs typeface="+mn-cs"/>
            </a:rPr>
            <a:t> and the </a:t>
          </a:r>
          <a:r>
            <a:rPr lang="en-US" sz="1200" b="0" i="1" baseline="0">
              <a:solidFill>
                <a:srgbClr val="FF0000"/>
              </a:solidFill>
              <a:effectLst/>
              <a:latin typeface="+mn-lt"/>
              <a:ea typeface="+mn-ea"/>
              <a:cs typeface="+mn-cs"/>
            </a:rPr>
            <a:t>Consequences worksheet</a:t>
          </a:r>
          <a:r>
            <a:rPr lang="en-US" sz="1200" b="0" i="0" baseline="0">
              <a:solidFill>
                <a:srgbClr val="FF0000"/>
              </a:solidFill>
              <a:effectLst/>
              <a:latin typeface="+mn-lt"/>
              <a:ea typeface="+mn-ea"/>
              <a:cs typeface="+mn-cs"/>
            </a:rPr>
            <a:t>.  If you disagree with the  results, simply return to the relevant worksheet and change your estimate of likelihood or consequences in the bottom row of the table; the results on this sheet will update automatically. </a:t>
          </a:r>
          <a:endParaRPr lang="en-AU"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The information on this sheet can be printed to paper, exported to pdf or you can copy and paste the results into a larger document.  Be sure to add document control features including page numbers, document identification and date or version number. </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If you are pasting into a new excel document use the 'Paste special' function, then choose 'values' to avoid copying formulas that will look strange in the new spreadsheet. </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Delete this text box prior to printing.</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xdr:txBody>
    </xdr:sp>
    <xdr:clientData/>
  </xdr:twoCellAnchor>
  <xdr:twoCellAnchor>
    <xdr:from>
      <xdr:col>12</xdr:col>
      <xdr:colOff>171450</xdr:colOff>
      <xdr:row>27</xdr:row>
      <xdr:rowOff>238125</xdr:rowOff>
    </xdr:from>
    <xdr:to>
      <xdr:col>17</xdr:col>
      <xdr:colOff>771525</xdr:colOff>
      <xdr:row>35</xdr:row>
      <xdr:rowOff>38100</xdr:rowOff>
    </xdr:to>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6515100" y="8810625"/>
          <a:ext cx="4648200" cy="2990850"/>
        </a:xfrm>
        <a:prstGeom prst="rect">
          <a:avLst/>
        </a:prstGeom>
        <a:solidFill>
          <a:schemeClr val="bg1">
            <a:lumMod val="85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US" sz="1200" b="1" i="0" baseline="0">
              <a:solidFill>
                <a:srgbClr val="FF0000"/>
              </a:solidFill>
              <a:effectLst/>
              <a:latin typeface="+mn-lt"/>
              <a:ea typeface="+mn-ea"/>
              <a:cs typeface="+mn-cs"/>
            </a:rPr>
            <a:t>Comments</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AU" sz="1200" b="0" i="0" baseline="0">
              <a:solidFill>
                <a:srgbClr val="FF0000"/>
              </a:solidFill>
              <a:effectLst/>
              <a:latin typeface="+mn-lt"/>
              <a:ea typeface="+mn-ea"/>
              <a:cs typeface="+mn-cs"/>
            </a:rPr>
            <a:t>The </a:t>
          </a:r>
          <a:r>
            <a:rPr lang="en-AU" sz="1200" b="0" i="1" baseline="0">
              <a:solidFill>
                <a:srgbClr val="FF0000"/>
              </a:solidFill>
              <a:effectLst/>
              <a:latin typeface="+mn-lt"/>
              <a:ea typeface="+mn-ea"/>
              <a:cs typeface="+mn-cs"/>
            </a:rPr>
            <a:t>Vulnerability Assessment Tool </a:t>
          </a:r>
          <a:r>
            <a:rPr lang="en-AU" sz="1200" b="0" i="0" baseline="0">
              <a:solidFill>
                <a:srgbClr val="FF0000"/>
              </a:solidFill>
              <a:effectLst/>
              <a:latin typeface="+mn-lt"/>
              <a:ea typeface="+mn-ea"/>
              <a:cs typeface="+mn-cs"/>
            </a:rPr>
            <a:t>does not enforce a limit on the length of comments that users can add.</a:t>
          </a:r>
        </a:p>
        <a:p>
          <a:pPr marL="0" marR="0" indent="0" defTabSz="914400" rtl="0" eaLnBrk="1" fontAlgn="auto" latinLnBrk="0" hangingPunct="1">
            <a:lnSpc>
              <a:spcPct val="100000"/>
            </a:lnSpc>
            <a:spcBef>
              <a:spcPts val="0"/>
            </a:spcBef>
            <a:spcAft>
              <a:spcPts val="0"/>
            </a:spcAft>
            <a:buClrTx/>
            <a:buSzTx/>
            <a:buFontTx/>
            <a:buNone/>
            <a:tabLst/>
            <a:defRPr/>
          </a:pPr>
          <a:endParaRPr lang="en-AU"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AU" sz="1200" b="0" i="0" baseline="0">
              <a:solidFill>
                <a:srgbClr val="FF0000"/>
              </a:solidFill>
              <a:effectLst/>
              <a:latin typeface="+mn-lt"/>
              <a:ea typeface="+mn-ea"/>
              <a:cs typeface="+mn-cs"/>
            </a:rPr>
            <a:t>However if you added very lengthy comments when performing your assessment the final parts of some comments may be obscured in this table.  </a:t>
          </a:r>
        </a:p>
        <a:p>
          <a:pPr marL="0" marR="0" indent="0" defTabSz="914400" rtl="0" eaLnBrk="1" fontAlgn="auto" latinLnBrk="0" hangingPunct="1">
            <a:lnSpc>
              <a:spcPct val="100000"/>
            </a:lnSpc>
            <a:spcBef>
              <a:spcPts val="0"/>
            </a:spcBef>
            <a:spcAft>
              <a:spcPts val="0"/>
            </a:spcAft>
            <a:buClrTx/>
            <a:buSzTx/>
            <a:buFontTx/>
            <a:buNone/>
            <a:tabLst/>
            <a:defRPr/>
          </a:pPr>
          <a:endParaRPr lang="en-AU"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AU" sz="1200" b="0" i="0" baseline="0">
              <a:solidFill>
                <a:srgbClr val="FF0000"/>
              </a:solidFill>
              <a:effectLst/>
              <a:latin typeface="+mn-lt"/>
              <a:ea typeface="+mn-ea"/>
              <a:cs typeface="+mn-cs"/>
            </a:rPr>
            <a:t>To fix this problem adjust the row height of affected cells by right clicking the row number at the left of the screen.  Increase the row height until all of your comments are visible. </a:t>
          </a: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Delete this text box prior to printing.</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xdr:txBody>
    </xdr:sp>
    <xdr:clientData/>
  </xdr:twoCellAnchor>
  <xdr:twoCellAnchor>
    <xdr:from>
      <xdr:col>11</xdr:col>
      <xdr:colOff>28575</xdr:colOff>
      <xdr:row>29</xdr:row>
      <xdr:rowOff>104775</xdr:rowOff>
    </xdr:from>
    <xdr:to>
      <xdr:col>12</xdr:col>
      <xdr:colOff>133350</xdr:colOff>
      <xdr:row>29</xdr:row>
      <xdr:rowOff>419100</xdr:rowOff>
    </xdr:to>
    <xdr:sp macro="" textlink="">
      <xdr:nvSpPr>
        <xdr:cNvPr id="3" name="Right Arrow 2">
          <a:extLst>
            <a:ext uri="{FF2B5EF4-FFF2-40B4-BE49-F238E27FC236}">
              <a16:creationId xmlns:a16="http://schemas.microsoft.com/office/drawing/2014/main" id="{00000000-0008-0000-0500-000003000000}"/>
            </a:ext>
          </a:extLst>
        </xdr:cNvPr>
        <xdr:cNvSpPr/>
      </xdr:nvSpPr>
      <xdr:spPr>
        <a:xfrm rot="10800000">
          <a:off x="5791200" y="9715500"/>
          <a:ext cx="685800" cy="314325"/>
        </a:xfrm>
        <a:prstGeom prst="rightArrow">
          <a:avLst/>
        </a:prstGeom>
        <a:solidFill>
          <a:schemeClr val="bg1">
            <a:lumMod val="85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441960</xdr:colOff>
      <xdr:row>14</xdr:row>
      <xdr:rowOff>0</xdr:rowOff>
    </xdr:from>
    <xdr:to>
      <xdr:col>1</xdr:col>
      <xdr:colOff>907869</xdr:colOff>
      <xdr:row>21</xdr:row>
      <xdr:rowOff>30480</xdr:rowOff>
    </xdr:to>
    <xdr:sp macro="" textlink="">
      <xdr:nvSpPr>
        <xdr:cNvPr id="8" name="TextBox 7">
          <a:extLst>
            <a:ext uri="{FF2B5EF4-FFF2-40B4-BE49-F238E27FC236}">
              <a16:creationId xmlns:a16="http://schemas.microsoft.com/office/drawing/2014/main" id="{68F9A111-4D1A-459F-9CD2-4F17AC5D7517}"/>
            </a:ext>
          </a:extLst>
        </xdr:cNvPr>
        <xdr:cNvSpPr txBox="1">
          <a:spLocks noChangeAspect="1"/>
        </xdr:cNvSpPr>
      </xdr:nvSpPr>
      <xdr:spPr>
        <a:xfrm>
          <a:off x="678180" y="4130040"/>
          <a:ext cx="465909" cy="3535680"/>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bIns="108000" rtlCol="0" anchor="t"/>
        <a:lstStyle/>
        <a:p>
          <a:r>
            <a:rPr lang="en-AU" sz="1800" b="1">
              <a:latin typeface="Arial" panose="020B0604020202020204" pitchFamily="34" charset="0"/>
              <a:cs typeface="Arial" panose="020B0604020202020204" pitchFamily="34" charset="0"/>
            </a:rPr>
            <a:t>Consequences</a:t>
          </a:r>
        </a:p>
      </xdr:txBody>
    </xdr:sp>
    <xdr:clientData/>
  </xdr:twoCellAnchor>
  <xdr:twoCellAnchor>
    <xdr:from>
      <xdr:col>1</xdr:col>
      <xdr:colOff>891540</xdr:colOff>
      <xdr:row>14</xdr:row>
      <xdr:rowOff>0</xdr:rowOff>
    </xdr:from>
    <xdr:to>
      <xdr:col>8</xdr:col>
      <xdr:colOff>220980</xdr:colOff>
      <xdr:row>15</xdr:row>
      <xdr:rowOff>74023</xdr:rowOff>
    </xdr:to>
    <xdr:sp macro="" textlink="">
      <xdr:nvSpPr>
        <xdr:cNvPr id="10" name="TextBox 9">
          <a:extLst>
            <a:ext uri="{FF2B5EF4-FFF2-40B4-BE49-F238E27FC236}">
              <a16:creationId xmlns:a16="http://schemas.microsoft.com/office/drawing/2014/main" id="{C0C44A08-0A24-4889-A054-24FC5188DC43}"/>
            </a:ext>
          </a:extLst>
        </xdr:cNvPr>
        <xdr:cNvSpPr txBox="1"/>
      </xdr:nvSpPr>
      <xdr:spPr>
        <a:xfrm>
          <a:off x="1127760" y="4130040"/>
          <a:ext cx="3238500" cy="394063"/>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800" b="1">
              <a:latin typeface="Arial" panose="020B0604020202020204" pitchFamily="34" charset="0"/>
              <a:cs typeface="Arial" panose="020B0604020202020204" pitchFamily="34" charset="0"/>
            </a:rPr>
            <a:t>Likelihood</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5762536</xdr:colOff>
      <xdr:row>29</xdr:row>
      <xdr:rowOff>88127</xdr:rowOff>
    </xdr:from>
    <xdr:to>
      <xdr:col>2</xdr:col>
      <xdr:colOff>6134011</xdr:colOff>
      <xdr:row>31</xdr:row>
      <xdr:rowOff>72658</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7072891" y="13910949"/>
          <a:ext cx="371475" cy="354849"/>
        </a:xfrm>
        <a:prstGeom prst="rect">
          <a:avLst/>
        </a:prstGeom>
      </xdr:spPr>
    </xdr:pic>
    <xdr:clientData/>
  </xdr:twoCellAnchor>
  <xdr:twoCellAnchor>
    <xdr:from>
      <xdr:col>1</xdr:col>
      <xdr:colOff>0</xdr:colOff>
      <xdr:row>3</xdr:row>
      <xdr:rowOff>0</xdr:rowOff>
    </xdr:from>
    <xdr:to>
      <xdr:col>4</xdr:col>
      <xdr:colOff>952499</xdr:colOff>
      <xdr:row>3</xdr:row>
      <xdr:rowOff>2409825</xdr:rowOff>
    </xdr:to>
    <xdr:sp macro="" textlink="">
      <xdr:nvSpPr>
        <xdr:cNvPr id="3" name="Shape 3">
          <a:extLst>
            <a:ext uri="{FF2B5EF4-FFF2-40B4-BE49-F238E27FC236}">
              <a16:creationId xmlns:a16="http://schemas.microsoft.com/office/drawing/2014/main" id="{00000000-0008-0000-0700-000003000000}"/>
            </a:ext>
          </a:extLst>
        </xdr:cNvPr>
        <xdr:cNvSpPr txBox="1"/>
      </xdr:nvSpPr>
      <xdr:spPr>
        <a:xfrm>
          <a:off x="449580" y="929640"/>
          <a:ext cx="10218419" cy="2409825"/>
        </a:xfrm>
        <a:prstGeom prst="rect">
          <a:avLst/>
        </a:prstGeom>
        <a:solidFill>
          <a:schemeClr val="bg1"/>
        </a:solidFill>
        <a:ln w="9525" cap="flat" cmpd="sng">
          <a:solidFill>
            <a:srgbClr val="BABABA"/>
          </a:solidFill>
          <a:prstDash val="solid"/>
          <a:round/>
          <a:headEnd type="none" w="med" len="med"/>
          <a:tailEnd type="none" w="med" len="med"/>
        </a:ln>
      </xdr:spPr>
      <xdr:txBody>
        <a:bodyPr lIns="91425" tIns="45700" rIns="91425" bIns="45700" anchor="t" anchorCtr="0">
          <a:noAutofit/>
        </a:bodyPr>
        <a:lstStyle/>
        <a:p>
          <a:pPr marL="0" marR="0" lvl="0" indent="0" algn="l" rtl="0">
            <a:lnSpc>
              <a:spcPct val="100000"/>
            </a:lnSpc>
            <a:spcBef>
              <a:spcPts val="0"/>
            </a:spcBef>
            <a:spcAft>
              <a:spcPts val="0"/>
            </a:spcAft>
            <a:buClr>
              <a:srgbClr val="00B050"/>
            </a:buClr>
            <a:buSzPct val="25000"/>
            <a:buFont typeface="Calibri"/>
            <a:buNone/>
          </a:pPr>
          <a:r>
            <a:rPr lang="en-US" sz="1200" b="1" i="0" u="none" strike="noStrike" cap="none" baseline="0">
              <a:solidFill>
                <a:srgbClr val="00B050"/>
              </a:solidFill>
              <a:latin typeface="Calibri"/>
              <a:ea typeface="Calibri"/>
              <a:cs typeface="Calibri"/>
              <a:sym typeface="Calibri"/>
            </a:rPr>
            <a:t>Overview:</a:t>
          </a:r>
        </a:p>
        <a:p>
          <a:pPr marL="0" marR="0" lvl="0" indent="0" algn="l" rtl="0">
            <a:lnSpc>
              <a:spcPct val="100000"/>
            </a:lnSpc>
            <a:spcBef>
              <a:spcPts val="0"/>
            </a:spcBef>
            <a:spcAft>
              <a:spcPts val="0"/>
            </a:spcAft>
            <a:buClr>
              <a:schemeClr val="dk1"/>
            </a:buClr>
            <a:buSzPct val="25000"/>
            <a:buFont typeface="Calibri"/>
            <a:buNone/>
          </a:pPr>
          <a:r>
            <a:rPr lang="en-US" sz="1200" b="0" i="0" u="none" strike="noStrike" cap="none" baseline="0">
              <a:solidFill>
                <a:schemeClr val="dk1"/>
              </a:solidFill>
              <a:latin typeface="+mn-lt"/>
              <a:ea typeface="Calibri"/>
              <a:cs typeface="Arial" panose="020B0604020202020204" pitchFamily="34" charset="0"/>
              <a:sym typeface="Calibri"/>
            </a:rPr>
            <a:t>Create a new excel file for each material or group of materials.  A material group is a family of ingredients, raw materials or products that are of similar composition and have similar supply chain characteristics.  If you are unsure of which materials to include within a group, just start with your best guess.  When using the tool it will soon be clear whether you can include more materials within a group and it is simple to expand the scope after you have started if you want to do so.</a:t>
          </a:r>
        </a:p>
        <a:p>
          <a:pPr marL="0" marR="0" lvl="0" indent="0" algn="l" rtl="0">
            <a:lnSpc>
              <a:spcPct val="100000"/>
            </a:lnSpc>
            <a:spcBef>
              <a:spcPts val="0"/>
            </a:spcBef>
            <a:spcAft>
              <a:spcPts val="0"/>
            </a:spcAft>
            <a:buFont typeface="Arial"/>
            <a:buNone/>
          </a:pPr>
          <a:endParaRPr sz="1200" b="0" i="0" u="none" strike="noStrike" cap="none" baseline="0">
            <a:solidFill>
              <a:schemeClr val="dk1"/>
            </a:solidFill>
            <a:latin typeface="+mn-lt"/>
            <a:ea typeface="Calibri"/>
            <a:cs typeface="Arial" panose="020B0604020202020204" pitchFamily="34" charset="0"/>
            <a:sym typeface="Calibri"/>
          </a:endParaRPr>
        </a:p>
        <a:p>
          <a:pPr marL="0" marR="0" lvl="0" indent="0" algn="l" rtl="0">
            <a:lnSpc>
              <a:spcPct val="100000"/>
            </a:lnSpc>
            <a:spcBef>
              <a:spcPts val="0"/>
            </a:spcBef>
            <a:spcAft>
              <a:spcPts val="0"/>
            </a:spcAft>
            <a:buClr>
              <a:schemeClr val="dk1"/>
            </a:buClr>
            <a:buSzPct val="25000"/>
            <a:buFont typeface="Calibri"/>
            <a:buNone/>
          </a:pPr>
          <a:r>
            <a:rPr lang="en-US" sz="1200" b="0" i="0" u="none" strike="noStrike" cap="none" baseline="0">
              <a:solidFill>
                <a:schemeClr val="dk1"/>
              </a:solidFill>
              <a:latin typeface="+mn-lt"/>
              <a:ea typeface="Calibri"/>
              <a:cs typeface="Arial" panose="020B0604020202020204" pitchFamily="34" charset="0"/>
              <a:sym typeface="Calibri"/>
            </a:rPr>
            <a:t>Collect information about the material(s) and use it to answer questions in the worksheets.  You do not need all the information on hand to start, you can add or change the information at any time.  Start with your best guess and update your answers as you learn more.</a:t>
          </a:r>
        </a:p>
        <a:p>
          <a:pPr marL="0" marR="0" lvl="0" indent="0" algn="l" rtl="0">
            <a:lnSpc>
              <a:spcPct val="100000"/>
            </a:lnSpc>
            <a:spcBef>
              <a:spcPts val="0"/>
            </a:spcBef>
            <a:spcAft>
              <a:spcPts val="0"/>
            </a:spcAft>
            <a:buClr>
              <a:schemeClr val="dk1"/>
            </a:buClr>
            <a:buSzPct val="25000"/>
            <a:buFont typeface="Calibri"/>
            <a:buNone/>
          </a:pPr>
          <a:endParaRPr lang="en-US" sz="1200" b="0" i="0" u="none" strike="noStrike" cap="none" baseline="0">
            <a:solidFill>
              <a:schemeClr val="dk1"/>
            </a:solidFill>
            <a:latin typeface="+mn-lt"/>
            <a:ea typeface="Calibri"/>
            <a:cs typeface="Arial" panose="020B0604020202020204" pitchFamily="34" charset="0"/>
            <a:sym typeface="Calibri"/>
          </a:endParaRPr>
        </a:p>
        <a:p>
          <a:pPr marL="0" marR="0" lvl="0" indent="0" algn="l" rtl="0">
            <a:lnSpc>
              <a:spcPct val="100000"/>
            </a:lnSpc>
            <a:spcBef>
              <a:spcPts val="0"/>
            </a:spcBef>
            <a:spcAft>
              <a:spcPts val="0"/>
            </a:spcAft>
            <a:buClr>
              <a:schemeClr val="dk1"/>
            </a:buClr>
            <a:buSzPct val="25000"/>
            <a:buFont typeface="Calibri"/>
            <a:buNone/>
          </a:pPr>
          <a:r>
            <a:rPr lang="en-US" sz="1200" b="0" i="0" u="none" strike="noStrike" cap="none" baseline="0">
              <a:solidFill>
                <a:schemeClr val="dk1"/>
              </a:solidFill>
              <a:latin typeface="+mn-lt"/>
              <a:ea typeface="Calibri"/>
              <a:cs typeface="Arial" panose="020B0604020202020204" pitchFamily="34" charset="0"/>
              <a:sym typeface="Calibri"/>
            </a:rPr>
            <a:t>When you have answered all the questions, view and print the results.  Section 1 of the results defines the purpose and scope, author, date and review date.  </a:t>
          </a:r>
          <a:r>
            <a:rPr lang="en-US" sz="1200" b="0" i="0" baseline="0">
              <a:effectLst/>
              <a:latin typeface="+mn-lt"/>
              <a:ea typeface="+mn-ea"/>
              <a:cs typeface="Arial" panose="020B0604020202020204" pitchFamily="34" charset="0"/>
            </a:rPr>
            <a:t>Section 2 of the results contains the vulnerability rating, risk matrix and information about what was considered in the assessment.  </a:t>
          </a:r>
          <a:r>
            <a:rPr lang="en-US" sz="1200" b="0" i="0" u="none" strike="noStrike" cap="none" baseline="0">
              <a:solidFill>
                <a:schemeClr val="dk1"/>
              </a:solidFill>
              <a:latin typeface="+mn-lt"/>
              <a:ea typeface="Calibri"/>
              <a:cs typeface="Arial" panose="020B0604020202020204" pitchFamily="34" charset="0"/>
              <a:sym typeface="Calibri"/>
            </a:rPr>
            <a:t>You can print to paper, print to pdf or copy and paste the results into a larger document. </a:t>
          </a:r>
          <a:endParaRPr sz="1200" b="0" i="0" u="none" strike="noStrike" cap="none" baseline="0">
            <a:solidFill>
              <a:schemeClr val="dk1"/>
            </a:solidFill>
            <a:latin typeface="+mn-lt"/>
            <a:ea typeface="Calibri"/>
            <a:cs typeface="Arial" panose="020B0604020202020204" pitchFamily="34" charset="0"/>
            <a:sym typeface="Calibri"/>
          </a:endParaRPr>
        </a:p>
        <a:p>
          <a:pPr marL="0" marR="0" lvl="0" indent="0" algn="l" rtl="0">
            <a:lnSpc>
              <a:spcPct val="100000"/>
            </a:lnSpc>
            <a:spcBef>
              <a:spcPts val="0"/>
            </a:spcBef>
            <a:spcAft>
              <a:spcPts val="0"/>
            </a:spcAft>
            <a:buFont typeface="Arial"/>
            <a:buNone/>
          </a:pPr>
          <a:endParaRPr sz="1100" b="0" i="0" u="none" strike="noStrike" cap="none" baseline="0">
            <a:latin typeface="+mn-lt"/>
          </a:endParaRPr>
        </a:p>
        <a:p>
          <a:pPr marL="0" marR="0" lvl="0" indent="0" algn="l" rtl="0">
            <a:spcBef>
              <a:spcPts val="0"/>
            </a:spcBef>
            <a:buFont typeface="Arial"/>
            <a:buNone/>
          </a:pPr>
          <a:endParaRPr sz="1100" b="0" i="0" u="none" strike="noStrike" cap="none" baseline="0"/>
        </a:p>
      </xdr:txBody>
    </xdr:sp>
    <xdr:clientData/>
  </xdr:twoCellAnchor>
  <xdr:twoCellAnchor editAs="oneCell">
    <xdr:from>
      <xdr:col>3</xdr:col>
      <xdr:colOff>28484</xdr:colOff>
      <xdr:row>233</xdr:row>
      <xdr:rowOff>56972</xdr:rowOff>
    </xdr:from>
    <xdr:to>
      <xdr:col>4</xdr:col>
      <xdr:colOff>901961</xdr:colOff>
      <xdr:row>236</xdr:row>
      <xdr:rowOff>350860</xdr:rowOff>
    </xdr:to>
    <xdr:grpSp>
      <xdr:nvGrpSpPr>
        <xdr:cNvPr id="4" name="Group 3">
          <a:extLst>
            <a:ext uri="{FF2B5EF4-FFF2-40B4-BE49-F238E27FC236}">
              <a16:creationId xmlns:a16="http://schemas.microsoft.com/office/drawing/2014/main" id="{986FE7B8-A27A-4E75-96AB-F6FA1E34FC26}"/>
            </a:ext>
          </a:extLst>
        </xdr:cNvPr>
        <xdr:cNvGrpSpPr/>
      </xdr:nvGrpSpPr>
      <xdr:grpSpPr>
        <a:xfrm>
          <a:off x="9366872" y="58140033"/>
          <a:ext cx="1005660" cy="830398"/>
          <a:chOff x="10180320" y="17586960"/>
          <a:chExt cx="1653748" cy="1295400"/>
        </a:xfrm>
      </xdr:grpSpPr>
      <xdr:sp macro="" textlink="">
        <xdr:nvSpPr>
          <xdr:cNvPr id="5" name="Arrow: Right 4">
            <a:extLst>
              <a:ext uri="{FF2B5EF4-FFF2-40B4-BE49-F238E27FC236}">
                <a16:creationId xmlns:a16="http://schemas.microsoft.com/office/drawing/2014/main" id="{BD84829A-9476-4181-A924-7F4AB527A76D}"/>
              </a:ext>
            </a:extLst>
          </xdr:cNvPr>
          <xdr:cNvSpPr/>
        </xdr:nvSpPr>
        <xdr:spPr>
          <a:xfrm rot="10800000">
            <a:off x="10180320" y="17586960"/>
            <a:ext cx="1615440" cy="1295400"/>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6" name="TextBox 5">
            <a:hlinkClick xmlns:r="http://schemas.openxmlformats.org/officeDocument/2006/relationships" r:id="rId3"/>
            <a:extLst>
              <a:ext uri="{FF2B5EF4-FFF2-40B4-BE49-F238E27FC236}">
                <a16:creationId xmlns:a16="http://schemas.microsoft.com/office/drawing/2014/main" id="{AAD78F60-6DB3-4712-8DBC-ECA10964111F}"/>
              </a:ext>
            </a:extLst>
          </xdr:cNvPr>
          <xdr:cNvSpPr txBox="1"/>
        </xdr:nvSpPr>
        <xdr:spPr>
          <a:xfrm>
            <a:off x="10355787" y="17861313"/>
            <a:ext cx="1478281" cy="865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0" i="0">
                <a:solidFill>
                  <a:srgbClr val="0070C0"/>
                </a:solidFill>
                <a:latin typeface="Arial" panose="020B0604020202020204" pitchFamily="34" charset="0"/>
                <a:cs typeface="Arial" panose="020B0604020202020204" pitchFamily="34" charset="0"/>
              </a:rPr>
              <a:t>Back to Likelihood Worksheet</a:t>
            </a:r>
          </a:p>
        </xdr:txBody>
      </xdr:sp>
    </xdr:grpSp>
    <xdr:clientData/>
  </xdr:twoCellAnchor>
  <xdr:twoCellAnchor>
    <xdr:from>
      <xdr:col>2</xdr:col>
      <xdr:colOff>7405003</xdr:colOff>
      <xdr:row>0</xdr:row>
      <xdr:rowOff>3</xdr:rowOff>
    </xdr:from>
    <xdr:to>
      <xdr:col>4</xdr:col>
      <xdr:colOff>874662</xdr:colOff>
      <xdr:row>3</xdr:row>
      <xdr:rowOff>30564</xdr:rowOff>
    </xdr:to>
    <xdr:grpSp>
      <xdr:nvGrpSpPr>
        <xdr:cNvPr id="7" name="Group 6">
          <a:extLst>
            <a:ext uri="{FF2B5EF4-FFF2-40B4-BE49-F238E27FC236}">
              <a16:creationId xmlns:a16="http://schemas.microsoft.com/office/drawing/2014/main" id="{6DE0FD80-CB67-4280-92AD-9907DF65FDC5}"/>
            </a:ext>
          </a:extLst>
        </xdr:cNvPr>
        <xdr:cNvGrpSpPr/>
      </xdr:nvGrpSpPr>
      <xdr:grpSpPr>
        <a:xfrm>
          <a:off x="8719064" y="3"/>
          <a:ext cx="1626169" cy="963622"/>
          <a:chOff x="10180320" y="17586960"/>
          <a:chExt cx="1702451" cy="1295400"/>
        </a:xfrm>
      </xdr:grpSpPr>
      <xdr:sp macro="" textlink="">
        <xdr:nvSpPr>
          <xdr:cNvPr id="8" name="Arrow: Right 7">
            <a:extLst>
              <a:ext uri="{FF2B5EF4-FFF2-40B4-BE49-F238E27FC236}">
                <a16:creationId xmlns:a16="http://schemas.microsoft.com/office/drawing/2014/main" id="{7D0A9167-B048-4561-8913-C49B44FBBF17}"/>
              </a:ext>
            </a:extLst>
          </xdr:cNvPr>
          <xdr:cNvSpPr/>
        </xdr:nvSpPr>
        <xdr:spPr>
          <a:xfrm rot="10800000">
            <a:off x="10180320" y="17586960"/>
            <a:ext cx="1615440" cy="1295400"/>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9" name="TextBox 8">
            <a:hlinkClick xmlns:r="http://schemas.openxmlformats.org/officeDocument/2006/relationships" r:id="rId4"/>
            <a:extLst>
              <a:ext uri="{FF2B5EF4-FFF2-40B4-BE49-F238E27FC236}">
                <a16:creationId xmlns:a16="http://schemas.microsoft.com/office/drawing/2014/main" id="{7E042B07-1891-4156-BA04-1CB301F7A3AB}"/>
              </a:ext>
            </a:extLst>
          </xdr:cNvPr>
          <xdr:cNvSpPr txBox="1"/>
        </xdr:nvSpPr>
        <xdr:spPr>
          <a:xfrm>
            <a:off x="10404491" y="17938585"/>
            <a:ext cx="1478280" cy="865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rgbClr val="0070C0"/>
                </a:solidFill>
                <a:latin typeface="Arial" panose="020B0604020202020204" pitchFamily="34" charset="0"/>
                <a:cs typeface="Arial" panose="020B0604020202020204" pitchFamily="34" charset="0"/>
              </a:rPr>
              <a:t>Back to Introduction</a:t>
            </a:r>
          </a:p>
        </xdr:txBody>
      </xdr:sp>
    </xdr:grpSp>
    <xdr:clientData/>
  </xdr:twoCellAnchor>
  <xdr:twoCellAnchor editAs="oneCell">
    <xdr:from>
      <xdr:col>3</xdr:col>
      <xdr:colOff>69366</xdr:colOff>
      <xdr:row>168</xdr:row>
      <xdr:rowOff>949215</xdr:rowOff>
    </xdr:from>
    <xdr:to>
      <xdr:col>5</xdr:col>
      <xdr:colOff>52655</xdr:colOff>
      <xdr:row>168</xdr:row>
      <xdr:rowOff>1731756</xdr:rowOff>
    </xdr:to>
    <xdr:grpSp>
      <xdr:nvGrpSpPr>
        <xdr:cNvPr id="10" name="Group 9">
          <a:extLst>
            <a:ext uri="{FF2B5EF4-FFF2-40B4-BE49-F238E27FC236}">
              <a16:creationId xmlns:a16="http://schemas.microsoft.com/office/drawing/2014/main" id="{569CAA0A-D897-43CE-9135-603B52548471}"/>
            </a:ext>
          </a:extLst>
        </xdr:cNvPr>
        <xdr:cNvGrpSpPr/>
      </xdr:nvGrpSpPr>
      <xdr:grpSpPr>
        <a:xfrm>
          <a:off x="9407754" y="42936970"/>
          <a:ext cx="1071860" cy="782541"/>
          <a:chOff x="10180320" y="17586960"/>
          <a:chExt cx="1658166" cy="1295400"/>
        </a:xfrm>
      </xdr:grpSpPr>
      <xdr:sp macro="" textlink="">
        <xdr:nvSpPr>
          <xdr:cNvPr id="11" name="Arrow: Right 10">
            <a:extLst>
              <a:ext uri="{FF2B5EF4-FFF2-40B4-BE49-F238E27FC236}">
                <a16:creationId xmlns:a16="http://schemas.microsoft.com/office/drawing/2014/main" id="{62EFE934-7DF8-4269-9EFB-54CA0938F48D}"/>
              </a:ext>
            </a:extLst>
          </xdr:cNvPr>
          <xdr:cNvSpPr/>
        </xdr:nvSpPr>
        <xdr:spPr>
          <a:xfrm rot="10800000">
            <a:off x="10180320" y="17586960"/>
            <a:ext cx="1615440" cy="1295400"/>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12" name="TextBox 11">
            <a:hlinkClick xmlns:r="http://schemas.openxmlformats.org/officeDocument/2006/relationships" r:id="rId5"/>
            <a:extLst>
              <a:ext uri="{FF2B5EF4-FFF2-40B4-BE49-F238E27FC236}">
                <a16:creationId xmlns:a16="http://schemas.microsoft.com/office/drawing/2014/main" id="{BE8C8787-0796-40F9-A6CD-68E85955CF88}"/>
              </a:ext>
            </a:extLst>
          </xdr:cNvPr>
          <xdr:cNvSpPr txBox="1"/>
        </xdr:nvSpPr>
        <xdr:spPr>
          <a:xfrm>
            <a:off x="10360207" y="17891634"/>
            <a:ext cx="1478279" cy="865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0" i="0">
                <a:solidFill>
                  <a:srgbClr val="0070C0"/>
                </a:solidFill>
                <a:latin typeface="Arial" panose="020B0604020202020204" pitchFamily="34" charset="0"/>
                <a:cs typeface="Arial" panose="020B0604020202020204" pitchFamily="34" charset="0"/>
              </a:rPr>
              <a:t>Back to Scope</a:t>
            </a:r>
            <a:r>
              <a:rPr lang="en-AU" sz="900" b="0" i="0" baseline="0">
                <a:solidFill>
                  <a:srgbClr val="0070C0"/>
                </a:solidFill>
                <a:latin typeface="Arial" panose="020B0604020202020204" pitchFamily="34" charset="0"/>
                <a:cs typeface="Arial" panose="020B0604020202020204" pitchFamily="34" charset="0"/>
              </a:rPr>
              <a:t> worksheet</a:t>
            </a:r>
            <a:endParaRPr lang="en-AU" sz="900" b="0" i="0">
              <a:solidFill>
                <a:srgbClr val="0070C0"/>
              </a:solidFill>
              <a:latin typeface="Arial" panose="020B0604020202020204" pitchFamily="34" charset="0"/>
              <a:cs typeface="Arial" panose="020B0604020202020204" pitchFamily="34" charset="0"/>
            </a:endParaRPr>
          </a:p>
        </xdr:txBody>
      </xdr:sp>
    </xdr:grpSp>
    <xdr:clientData/>
  </xdr:twoCellAnchor>
  <xdr:twoCellAnchor>
    <xdr:from>
      <xdr:col>2</xdr:col>
      <xdr:colOff>7439895</xdr:colOff>
      <xdr:row>32</xdr:row>
      <xdr:rowOff>130536</xdr:rowOff>
    </xdr:from>
    <xdr:to>
      <xdr:col>5</xdr:col>
      <xdr:colOff>14594</xdr:colOff>
      <xdr:row>38</xdr:row>
      <xdr:rowOff>45533</xdr:rowOff>
    </xdr:to>
    <xdr:grpSp>
      <xdr:nvGrpSpPr>
        <xdr:cNvPr id="16" name="Group 15">
          <a:extLst>
            <a:ext uri="{FF2B5EF4-FFF2-40B4-BE49-F238E27FC236}">
              <a16:creationId xmlns:a16="http://schemas.microsoft.com/office/drawing/2014/main" id="{B79992CA-8ACF-4A35-9A32-C83C6342A203}"/>
            </a:ext>
          </a:extLst>
        </xdr:cNvPr>
        <xdr:cNvGrpSpPr/>
      </xdr:nvGrpSpPr>
      <xdr:grpSpPr>
        <a:xfrm>
          <a:off x="8753956" y="14756271"/>
          <a:ext cx="1687597" cy="988017"/>
          <a:chOff x="10180320" y="17586960"/>
          <a:chExt cx="1624695" cy="1304406"/>
        </a:xfrm>
      </xdr:grpSpPr>
      <xdr:sp macro="" textlink="">
        <xdr:nvSpPr>
          <xdr:cNvPr id="17" name="Arrow: Right 16">
            <a:extLst>
              <a:ext uri="{FF2B5EF4-FFF2-40B4-BE49-F238E27FC236}">
                <a16:creationId xmlns:a16="http://schemas.microsoft.com/office/drawing/2014/main" id="{C058AF58-D69F-4E35-9F49-9BC59B609509}"/>
              </a:ext>
            </a:extLst>
          </xdr:cNvPr>
          <xdr:cNvSpPr/>
        </xdr:nvSpPr>
        <xdr:spPr>
          <a:xfrm rot="10800000">
            <a:off x="10180320" y="17586960"/>
            <a:ext cx="1615440" cy="1295400"/>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18" name="TextBox 17">
            <a:hlinkClick xmlns:r="http://schemas.openxmlformats.org/officeDocument/2006/relationships" r:id="rId4"/>
            <a:extLst>
              <a:ext uri="{FF2B5EF4-FFF2-40B4-BE49-F238E27FC236}">
                <a16:creationId xmlns:a16="http://schemas.microsoft.com/office/drawing/2014/main" id="{CEF50CB0-270B-43C5-9953-451EC74B14F9}"/>
              </a:ext>
            </a:extLst>
          </xdr:cNvPr>
          <xdr:cNvSpPr txBox="1"/>
        </xdr:nvSpPr>
        <xdr:spPr>
          <a:xfrm>
            <a:off x="10326735" y="18025798"/>
            <a:ext cx="1478280" cy="865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rgbClr val="0070C0"/>
                </a:solidFill>
                <a:latin typeface="Arial" panose="020B0604020202020204" pitchFamily="34" charset="0"/>
                <a:cs typeface="Arial" panose="020B0604020202020204" pitchFamily="34" charset="0"/>
              </a:rPr>
              <a:t>Back to Introduction</a:t>
            </a:r>
          </a:p>
        </xdr:txBody>
      </xdr:sp>
    </xdr:grpSp>
    <xdr:clientData/>
  </xdr:twoCellAnchor>
  <xdr:twoCellAnchor editAs="oneCell">
    <xdr:from>
      <xdr:col>2</xdr:col>
      <xdr:colOff>8004559</xdr:colOff>
      <xdr:row>334</xdr:row>
      <xdr:rowOff>71214</xdr:rowOff>
    </xdr:from>
    <xdr:to>
      <xdr:col>5</xdr:col>
      <xdr:colOff>0</xdr:colOff>
      <xdr:row>337</xdr:row>
      <xdr:rowOff>329101</xdr:rowOff>
    </xdr:to>
    <xdr:grpSp>
      <xdr:nvGrpSpPr>
        <xdr:cNvPr id="28" name="Group 27">
          <a:extLst>
            <a:ext uri="{FF2B5EF4-FFF2-40B4-BE49-F238E27FC236}">
              <a16:creationId xmlns:a16="http://schemas.microsoft.com/office/drawing/2014/main" id="{850FF7A5-9F99-4C60-839F-D8109E979B86}"/>
            </a:ext>
          </a:extLst>
        </xdr:cNvPr>
        <xdr:cNvGrpSpPr/>
      </xdr:nvGrpSpPr>
      <xdr:grpSpPr>
        <a:xfrm>
          <a:off x="9318620" y="88844214"/>
          <a:ext cx="1108339" cy="794397"/>
          <a:chOff x="10180320" y="17586960"/>
          <a:chExt cx="1822430" cy="1295400"/>
        </a:xfrm>
      </xdr:grpSpPr>
      <xdr:sp macro="" textlink="">
        <xdr:nvSpPr>
          <xdr:cNvPr id="29" name="Arrow: Right 28">
            <a:extLst>
              <a:ext uri="{FF2B5EF4-FFF2-40B4-BE49-F238E27FC236}">
                <a16:creationId xmlns:a16="http://schemas.microsoft.com/office/drawing/2014/main" id="{040B2785-2FE2-4CF4-8388-CBCCBE0379FF}"/>
              </a:ext>
            </a:extLst>
          </xdr:cNvPr>
          <xdr:cNvSpPr/>
        </xdr:nvSpPr>
        <xdr:spPr>
          <a:xfrm rot="10800000">
            <a:off x="10180320" y="17586960"/>
            <a:ext cx="1615440" cy="1295400"/>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30" name="TextBox 29">
            <a:hlinkClick xmlns:r="http://schemas.openxmlformats.org/officeDocument/2006/relationships" r:id="rId6"/>
            <a:extLst>
              <a:ext uri="{FF2B5EF4-FFF2-40B4-BE49-F238E27FC236}">
                <a16:creationId xmlns:a16="http://schemas.microsoft.com/office/drawing/2014/main" id="{6478F8A7-5B3B-45FA-B0B3-CC3CE08E3434}"/>
              </a:ext>
            </a:extLst>
          </xdr:cNvPr>
          <xdr:cNvSpPr txBox="1"/>
        </xdr:nvSpPr>
        <xdr:spPr>
          <a:xfrm>
            <a:off x="10344028" y="17844599"/>
            <a:ext cx="1658722" cy="865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0" i="0">
                <a:solidFill>
                  <a:srgbClr val="0070C0"/>
                </a:solidFill>
                <a:latin typeface="Arial" panose="020B0604020202020204" pitchFamily="34" charset="0"/>
                <a:cs typeface="Arial" panose="020B0604020202020204" pitchFamily="34" charset="0"/>
              </a:rPr>
              <a:t>Back to Consequences Worksheet</a:t>
            </a:r>
          </a:p>
        </xdr:txBody>
      </xdr:sp>
    </xdr:grpSp>
    <xdr:clientData/>
  </xdr:twoCellAnchor>
  <xdr:twoCellAnchor editAs="oneCell">
    <xdr:from>
      <xdr:col>4</xdr:col>
      <xdr:colOff>104971</xdr:colOff>
      <xdr:row>97</xdr:row>
      <xdr:rowOff>536169</xdr:rowOff>
    </xdr:from>
    <xdr:to>
      <xdr:col>5</xdr:col>
      <xdr:colOff>230690</xdr:colOff>
      <xdr:row>97</xdr:row>
      <xdr:rowOff>1364169</xdr:rowOff>
    </xdr:to>
    <xdr:grpSp>
      <xdr:nvGrpSpPr>
        <xdr:cNvPr id="43" name="Group 42">
          <a:extLst>
            <a:ext uri="{FF2B5EF4-FFF2-40B4-BE49-F238E27FC236}">
              <a16:creationId xmlns:a16="http://schemas.microsoft.com/office/drawing/2014/main" id="{405B4C70-5BA2-43E5-A75C-FE179917B8A6}"/>
            </a:ext>
          </a:extLst>
        </xdr:cNvPr>
        <xdr:cNvGrpSpPr/>
      </xdr:nvGrpSpPr>
      <xdr:grpSpPr>
        <a:xfrm>
          <a:off x="9575542" y="26957353"/>
          <a:ext cx="1082107" cy="828000"/>
          <a:chOff x="10180320" y="17586960"/>
          <a:chExt cx="1724762" cy="1295400"/>
        </a:xfrm>
      </xdr:grpSpPr>
      <xdr:sp macro="" textlink="">
        <xdr:nvSpPr>
          <xdr:cNvPr id="44" name="Arrow: Right 43">
            <a:extLst>
              <a:ext uri="{FF2B5EF4-FFF2-40B4-BE49-F238E27FC236}">
                <a16:creationId xmlns:a16="http://schemas.microsoft.com/office/drawing/2014/main" id="{72FFE704-442A-4BBC-BF3E-CE4AE12B6D86}"/>
              </a:ext>
            </a:extLst>
          </xdr:cNvPr>
          <xdr:cNvSpPr/>
        </xdr:nvSpPr>
        <xdr:spPr>
          <a:xfrm rot="10800000">
            <a:off x="10180320" y="17586960"/>
            <a:ext cx="1615440" cy="1295400"/>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45" name="TextBox 44">
            <a:hlinkClick xmlns:r="http://schemas.openxmlformats.org/officeDocument/2006/relationships" r:id="rId7"/>
            <a:extLst>
              <a:ext uri="{FF2B5EF4-FFF2-40B4-BE49-F238E27FC236}">
                <a16:creationId xmlns:a16="http://schemas.microsoft.com/office/drawing/2014/main" id="{E1546E66-E257-4EC8-9B17-36E0C8CBC567}"/>
              </a:ext>
            </a:extLst>
          </xdr:cNvPr>
          <xdr:cNvSpPr txBox="1"/>
        </xdr:nvSpPr>
        <xdr:spPr>
          <a:xfrm>
            <a:off x="10426801" y="17914768"/>
            <a:ext cx="1478281" cy="8655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rgbClr val="0070C0"/>
                </a:solidFill>
                <a:latin typeface="Arial" panose="020B0604020202020204" pitchFamily="34" charset="0"/>
                <a:cs typeface="Arial" panose="020B0604020202020204" pitchFamily="34" charset="0"/>
              </a:rPr>
              <a:t>Back to Instructions</a:t>
            </a:r>
          </a:p>
        </xdr:txBody>
      </xdr:sp>
    </xdr:grpSp>
    <xdr:clientData/>
  </xdr:twoCellAnchor>
  <xdr:twoCellAnchor editAs="oneCell">
    <xdr:from>
      <xdr:col>2</xdr:col>
      <xdr:colOff>8009833</xdr:colOff>
      <xdr:row>174</xdr:row>
      <xdr:rowOff>23420</xdr:rowOff>
    </xdr:from>
    <xdr:to>
      <xdr:col>4</xdr:col>
      <xdr:colOff>921478</xdr:colOff>
      <xdr:row>177</xdr:row>
      <xdr:rowOff>271849</xdr:rowOff>
    </xdr:to>
    <xdr:grpSp>
      <xdr:nvGrpSpPr>
        <xdr:cNvPr id="46" name="Group 45">
          <a:extLst>
            <a:ext uri="{FF2B5EF4-FFF2-40B4-BE49-F238E27FC236}">
              <a16:creationId xmlns:a16="http://schemas.microsoft.com/office/drawing/2014/main" id="{A8645936-1FE3-48E1-A78D-3079BA56889C}"/>
            </a:ext>
          </a:extLst>
        </xdr:cNvPr>
        <xdr:cNvGrpSpPr/>
      </xdr:nvGrpSpPr>
      <xdr:grpSpPr>
        <a:xfrm>
          <a:off x="9323894" y="45743420"/>
          <a:ext cx="1068155" cy="784939"/>
          <a:chOff x="10180320" y="17586960"/>
          <a:chExt cx="1658166" cy="1295400"/>
        </a:xfrm>
      </xdr:grpSpPr>
      <xdr:sp macro="" textlink="">
        <xdr:nvSpPr>
          <xdr:cNvPr id="47" name="Arrow: Right 46">
            <a:extLst>
              <a:ext uri="{FF2B5EF4-FFF2-40B4-BE49-F238E27FC236}">
                <a16:creationId xmlns:a16="http://schemas.microsoft.com/office/drawing/2014/main" id="{F0960CB7-F53E-4CCB-AD7F-476EEF4458C9}"/>
              </a:ext>
            </a:extLst>
          </xdr:cNvPr>
          <xdr:cNvSpPr/>
        </xdr:nvSpPr>
        <xdr:spPr>
          <a:xfrm rot="10800000">
            <a:off x="10180320" y="17586960"/>
            <a:ext cx="1615440" cy="1295400"/>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48" name="TextBox 47">
            <a:hlinkClick xmlns:r="http://schemas.openxmlformats.org/officeDocument/2006/relationships" r:id="rId5"/>
            <a:extLst>
              <a:ext uri="{FF2B5EF4-FFF2-40B4-BE49-F238E27FC236}">
                <a16:creationId xmlns:a16="http://schemas.microsoft.com/office/drawing/2014/main" id="{D433D353-2A41-4065-83D9-2228DEF19FB3}"/>
              </a:ext>
            </a:extLst>
          </xdr:cNvPr>
          <xdr:cNvSpPr txBox="1"/>
        </xdr:nvSpPr>
        <xdr:spPr>
          <a:xfrm>
            <a:off x="10360207" y="17891634"/>
            <a:ext cx="1478279" cy="865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0" i="0">
                <a:solidFill>
                  <a:srgbClr val="0070C0"/>
                </a:solidFill>
                <a:latin typeface="Arial" panose="020B0604020202020204" pitchFamily="34" charset="0"/>
                <a:cs typeface="Arial" panose="020B0604020202020204" pitchFamily="34" charset="0"/>
              </a:rPr>
              <a:t>Back to Scope</a:t>
            </a:r>
            <a:r>
              <a:rPr lang="en-AU" sz="900" b="0" i="0" baseline="0">
                <a:solidFill>
                  <a:srgbClr val="0070C0"/>
                </a:solidFill>
                <a:latin typeface="Arial" panose="020B0604020202020204" pitchFamily="34" charset="0"/>
                <a:cs typeface="Arial" panose="020B0604020202020204" pitchFamily="34" charset="0"/>
              </a:rPr>
              <a:t> worksheet</a:t>
            </a:r>
            <a:endParaRPr lang="en-AU" sz="900" b="0" i="0">
              <a:solidFill>
                <a:srgbClr val="0070C0"/>
              </a:solidFill>
              <a:latin typeface="Arial" panose="020B0604020202020204" pitchFamily="34" charset="0"/>
              <a:cs typeface="Arial" panose="020B0604020202020204" pitchFamily="34" charset="0"/>
            </a:endParaRPr>
          </a:p>
        </xdr:txBody>
      </xdr:sp>
    </xdr:grpSp>
    <xdr:clientData/>
  </xdr:twoCellAnchor>
  <xdr:twoCellAnchor editAs="oneCell">
    <xdr:from>
      <xdr:col>3</xdr:col>
      <xdr:colOff>71213</xdr:colOff>
      <xdr:row>244</xdr:row>
      <xdr:rowOff>519870</xdr:rowOff>
    </xdr:from>
    <xdr:to>
      <xdr:col>4</xdr:col>
      <xdr:colOff>944690</xdr:colOff>
      <xdr:row>249</xdr:row>
      <xdr:rowOff>119127</xdr:rowOff>
    </xdr:to>
    <xdr:grpSp>
      <xdr:nvGrpSpPr>
        <xdr:cNvPr id="49" name="Group 48">
          <a:extLst>
            <a:ext uri="{FF2B5EF4-FFF2-40B4-BE49-F238E27FC236}">
              <a16:creationId xmlns:a16="http://schemas.microsoft.com/office/drawing/2014/main" id="{E6B33305-EBB5-4731-BCA6-F001D440FDB7}"/>
            </a:ext>
          </a:extLst>
        </xdr:cNvPr>
        <xdr:cNvGrpSpPr/>
      </xdr:nvGrpSpPr>
      <xdr:grpSpPr>
        <a:xfrm>
          <a:off x="9409601" y="61447990"/>
          <a:ext cx="1005660" cy="836341"/>
          <a:chOff x="10180320" y="17586960"/>
          <a:chExt cx="1653748" cy="1295400"/>
        </a:xfrm>
      </xdr:grpSpPr>
      <xdr:sp macro="" textlink="">
        <xdr:nvSpPr>
          <xdr:cNvPr id="50" name="Arrow: Right 49">
            <a:extLst>
              <a:ext uri="{FF2B5EF4-FFF2-40B4-BE49-F238E27FC236}">
                <a16:creationId xmlns:a16="http://schemas.microsoft.com/office/drawing/2014/main" id="{4E50DDD6-1EEA-4B05-B5F0-BF2B9DAE2000}"/>
              </a:ext>
            </a:extLst>
          </xdr:cNvPr>
          <xdr:cNvSpPr/>
        </xdr:nvSpPr>
        <xdr:spPr>
          <a:xfrm rot="10800000">
            <a:off x="10180320" y="17586960"/>
            <a:ext cx="1615440" cy="1295400"/>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51" name="TextBox 50">
            <a:hlinkClick xmlns:r="http://schemas.openxmlformats.org/officeDocument/2006/relationships" r:id="rId3"/>
            <a:extLst>
              <a:ext uri="{FF2B5EF4-FFF2-40B4-BE49-F238E27FC236}">
                <a16:creationId xmlns:a16="http://schemas.microsoft.com/office/drawing/2014/main" id="{31A621B0-9B82-4783-821C-9336ACC61188}"/>
              </a:ext>
            </a:extLst>
          </xdr:cNvPr>
          <xdr:cNvSpPr txBox="1"/>
        </xdr:nvSpPr>
        <xdr:spPr>
          <a:xfrm>
            <a:off x="10355787" y="17861313"/>
            <a:ext cx="1478281" cy="865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0" i="0">
                <a:solidFill>
                  <a:srgbClr val="0070C0"/>
                </a:solidFill>
                <a:latin typeface="Arial" panose="020B0604020202020204" pitchFamily="34" charset="0"/>
                <a:cs typeface="Arial" panose="020B0604020202020204" pitchFamily="34" charset="0"/>
              </a:rPr>
              <a:t>Back to Likelihood Worksheet</a:t>
            </a:r>
          </a:p>
        </xdr:txBody>
      </xdr:sp>
    </xdr:grpSp>
    <xdr:clientData/>
  </xdr:twoCellAnchor>
  <xdr:twoCellAnchor editAs="oneCell">
    <xdr:from>
      <xdr:col>2</xdr:col>
      <xdr:colOff>8004559</xdr:colOff>
      <xdr:row>256</xdr:row>
      <xdr:rowOff>413046</xdr:rowOff>
    </xdr:from>
    <xdr:to>
      <xdr:col>4</xdr:col>
      <xdr:colOff>852111</xdr:colOff>
      <xdr:row>260</xdr:row>
      <xdr:rowOff>9028</xdr:rowOff>
    </xdr:to>
    <xdr:grpSp>
      <xdr:nvGrpSpPr>
        <xdr:cNvPr id="52" name="Group 51">
          <a:extLst>
            <a:ext uri="{FF2B5EF4-FFF2-40B4-BE49-F238E27FC236}">
              <a16:creationId xmlns:a16="http://schemas.microsoft.com/office/drawing/2014/main" id="{3F0D2BD8-5F2E-472E-9395-CAB3EA2C18F8}"/>
            </a:ext>
          </a:extLst>
        </xdr:cNvPr>
        <xdr:cNvGrpSpPr/>
      </xdr:nvGrpSpPr>
      <xdr:grpSpPr>
        <a:xfrm>
          <a:off x="9318620" y="64351066"/>
          <a:ext cx="1004062" cy="832289"/>
          <a:chOff x="10180320" y="17586960"/>
          <a:chExt cx="1653748" cy="1295400"/>
        </a:xfrm>
      </xdr:grpSpPr>
      <xdr:sp macro="" textlink="">
        <xdr:nvSpPr>
          <xdr:cNvPr id="53" name="Arrow: Right 52">
            <a:extLst>
              <a:ext uri="{FF2B5EF4-FFF2-40B4-BE49-F238E27FC236}">
                <a16:creationId xmlns:a16="http://schemas.microsoft.com/office/drawing/2014/main" id="{8ED4C75A-8170-4213-8B49-6E7C6AC6EF5B}"/>
              </a:ext>
            </a:extLst>
          </xdr:cNvPr>
          <xdr:cNvSpPr/>
        </xdr:nvSpPr>
        <xdr:spPr>
          <a:xfrm rot="10800000">
            <a:off x="10180320" y="17586960"/>
            <a:ext cx="1615440" cy="1295400"/>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54" name="TextBox 53">
            <a:hlinkClick xmlns:r="http://schemas.openxmlformats.org/officeDocument/2006/relationships" r:id="rId3"/>
            <a:extLst>
              <a:ext uri="{FF2B5EF4-FFF2-40B4-BE49-F238E27FC236}">
                <a16:creationId xmlns:a16="http://schemas.microsoft.com/office/drawing/2014/main" id="{98525458-E594-406E-A53C-C2731652A87A}"/>
              </a:ext>
            </a:extLst>
          </xdr:cNvPr>
          <xdr:cNvSpPr txBox="1"/>
        </xdr:nvSpPr>
        <xdr:spPr>
          <a:xfrm>
            <a:off x="10355787" y="17861313"/>
            <a:ext cx="1478281" cy="865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0" i="0">
                <a:solidFill>
                  <a:srgbClr val="0070C0"/>
                </a:solidFill>
                <a:latin typeface="Arial" panose="020B0604020202020204" pitchFamily="34" charset="0"/>
                <a:cs typeface="Arial" panose="020B0604020202020204" pitchFamily="34" charset="0"/>
              </a:rPr>
              <a:t>Back to Likelihood Worksheet</a:t>
            </a:r>
          </a:p>
        </xdr:txBody>
      </xdr:sp>
    </xdr:grpSp>
    <xdr:clientData/>
  </xdr:twoCellAnchor>
  <xdr:twoCellAnchor editAs="oneCell">
    <xdr:from>
      <xdr:col>2</xdr:col>
      <xdr:colOff>7954708</xdr:colOff>
      <xdr:row>284</xdr:row>
      <xdr:rowOff>1011252</xdr:rowOff>
    </xdr:from>
    <xdr:to>
      <xdr:col>4</xdr:col>
      <xdr:colOff>802260</xdr:colOff>
      <xdr:row>284</xdr:row>
      <xdr:rowOff>1839253</xdr:rowOff>
    </xdr:to>
    <xdr:grpSp>
      <xdr:nvGrpSpPr>
        <xdr:cNvPr id="55" name="Group 54">
          <a:extLst>
            <a:ext uri="{FF2B5EF4-FFF2-40B4-BE49-F238E27FC236}">
              <a16:creationId xmlns:a16="http://schemas.microsoft.com/office/drawing/2014/main" id="{DC204F00-DDB0-416B-8EB8-72D271C824D8}"/>
            </a:ext>
          </a:extLst>
        </xdr:cNvPr>
        <xdr:cNvGrpSpPr/>
      </xdr:nvGrpSpPr>
      <xdr:grpSpPr>
        <a:xfrm>
          <a:off x="9268769" y="74186579"/>
          <a:ext cx="1004062" cy="828001"/>
          <a:chOff x="10180320" y="17586960"/>
          <a:chExt cx="1653748" cy="1295400"/>
        </a:xfrm>
      </xdr:grpSpPr>
      <xdr:sp macro="" textlink="">
        <xdr:nvSpPr>
          <xdr:cNvPr id="56" name="Arrow: Right 55">
            <a:extLst>
              <a:ext uri="{FF2B5EF4-FFF2-40B4-BE49-F238E27FC236}">
                <a16:creationId xmlns:a16="http://schemas.microsoft.com/office/drawing/2014/main" id="{FDBDE891-4030-4153-AC8B-A5D1F7FFDA3D}"/>
              </a:ext>
            </a:extLst>
          </xdr:cNvPr>
          <xdr:cNvSpPr/>
        </xdr:nvSpPr>
        <xdr:spPr>
          <a:xfrm rot="10800000">
            <a:off x="10180320" y="17586960"/>
            <a:ext cx="1615440" cy="1295400"/>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57" name="TextBox 56">
            <a:hlinkClick xmlns:r="http://schemas.openxmlformats.org/officeDocument/2006/relationships" r:id="rId3"/>
            <a:extLst>
              <a:ext uri="{FF2B5EF4-FFF2-40B4-BE49-F238E27FC236}">
                <a16:creationId xmlns:a16="http://schemas.microsoft.com/office/drawing/2014/main" id="{B6D0041D-C238-4CE1-9D68-FDE08E54DBBC}"/>
              </a:ext>
            </a:extLst>
          </xdr:cNvPr>
          <xdr:cNvSpPr txBox="1"/>
        </xdr:nvSpPr>
        <xdr:spPr>
          <a:xfrm>
            <a:off x="10355787" y="17861313"/>
            <a:ext cx="1478281" cy="865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0" i="0">
                <a:solidFill>
                  <a:srgbClr val="0070C0"/>
                </a:solidFill>
                <a:latin typeface="Arial" panose="020B0604020202020204" pitchFamily="34" charset="0"/>
                <a:cs typeface="Arial" panose="020B0604020202020204" pitchFamily="34" charset="0"/>
              </a:rPr>
              <a:t>Back to Likelihood Worksheet</a:t>
            </a:r>
          </a:p>
        </xdr:txBody>
      </xdr:sp>
    </xdr:grpSp>
    <xdr:clientData/>
  </xdr:twoCellAnchor>
  <xdr:twoCellAnchor editAs="oneCell">
    <xdr:from>
      <xdr:col>2</xdr:col>
      <xdr:colOff>7983194</xdr:colOff>
      <xdr:row>304</xdr:row>
      <xdr:rowOff>113944</xdr:rowOff>
    </xdr:from>
    <xdr:to>
      <xdr:col>4</xdr:col>
      <xdr:colOff>830746</xdr:colOff>
      <xdr:row>307</xdr:row>
      <xdr:rowOff>9028</xdr:rowOff>
    </xdr:to>
    <xdr:grpSp>
      <xdr:nvGrpSpPr>
        <xdr:cNvPr id="58" name="Group 57">
          <a:extLst>
            <a:ext uri="{FF2B5EF4-FFF2-40B4-BE49-F238E27FC236}">
              <a16:creationId xmlns:a16="http://schemas.microsoft.com/office/drawing/2014/main" id="{6DB634FB-A5F5-4F14-99FA-00FE0727E3B6}"/>
            </a:ext>
          </a:extLst>
        </xdr:cNvPr>
        <xdr:cNvGrpSpPr/>
      </xdr:nvGrpSpPr>
      <xdr:grpSpPr>
        <a:xfrm>
          <a:off x="9297255" y="83125291"/>
          <a:ext cx="1004062" cy="828145"/>
          <a:chOff x="10180320" y="17586960"/>
          <a:chExt cx="1653748" cy="1295400"/>
        </a:xfrm>
      </xdr:grpSpPr>
      <xdr:sp macro="" textlink="">
        <xdr:nvSpPr>
          <xdr:cNvPr id="59" name="Arrow: Right 58">
            <a:extLst>
              <a:ext uri="{FF2B5EF4-FFF2-40B4-BE49-F238E27FC236}">
                <a16:creationId xmlns:a16="http://schemas.microsoft.com/office/drawing/2014/main" id="{A47C67AC-B2AC-43A8-AA18-8D5E2AD75CD1}"/>
              </a:ext>
            </a:extLst>
          </xdr:cNvPr>
          <xdr:cNvSpPr/>
        </xdr:nvSpPr>
        <xdr:spPr>
          <a:xfrm rot="10800000">
            <a:off x="10180320" y="17586960"/>
            <a:ext cx="1615440" cy="1295400"/>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60" name="TextBox 59">
            <a:hlinkClick xmlns:r="http://schemas.openxmlformats.org/officeDocument/2006/relationships" r:id="rId3"/>
            <a:extLst>
              <a:ext uri="{FF2B5EF4-FFF2-40B4-BE49-F238E27FC236}">
                <a16:creationId xmlns:a16="http://schemas.microsoft.com/office/drawing/2014/main" id="{404E00D8-33D0-4C28-9750-6BFDFFB517A1}"/>
              </a:ext>
            </a:extLst>
          </xdr:cNvPr>
          <xdr:cNvSpPr txBox="1"/>
        </xdr:nvSpPr>
        <xdr:spPr>
          <a:xfrm>
            <a:off x="10355787" y="17861313"/>
            <a:ext cx="1478281" cy="865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0" i="0">
                <a:solidFill>
                  <a:srgbClr val="0070C0"/>
                </a:solidFill>
                <a:latin typeface="Arial" panose="020B0604020202020204" pitchFamily="34" charset="0"/>
                <a:cs typeface="Arial" panose="020B0604020202020204" pitchFamily="34" charset="0"/>
              </a:rPr>
              <a:t>Back to Likelihood Worksheet</a:t>
            </a:r>
          </a:p>
        </xdr:txBody>
      </xdr:sp>
    </xdr:grpSp>
    <xdr:clientData/>
  </xdr:twoCellAnchor>
  <xdr:twoCellAnchor editAs="oneCell">
    <xdr:from>
      <xdr:col>2</xdr:col>
      <xdr:colOff>7990316</xdr:colOff>
      <xdr:row>346</xdr:row>
      <xdr:rowOff>135307</xdr:rowOff>
    </xdr:from>
    <xdr:to>
      <xdr:col>4</xdr:col>
      <xdr:colOff>940038</xdr:colOff>
      <xdr:row>351</xdr:row>
      <xdr:rowOff>49796</xdr:rowOff>
    </xdr:to>
    <xdr:grpSp>
      <xdr:nvGrpSpPr>
        <xdr:cNvPr id="61" name="Group 60">
          <a:extLst>
            <a:ext uri="{FF2B5EF4-FFF2-40B4-BE49-F238E27FC236}">
              <a16:creationId xmlns:a16="http://schemas.microsoft.com/office/drawing/2014/main" id="{215122D2-D3F2-40CE-942F-3B974C9E2579}"/>
            </a:ext>
          </a:extLst>
        </xdr:cNvPr>
        <xdr:cNvGrpSpPr/>
      </xdr:nvGrpSpPr>
      <xdr:grpSpPr>
        <a:xfrm>
          <a:off x="9304377" y="91761919"/>
          <a:ext cx="1106232" cy="800897"/>
          <a:chOff x="10180320" y="17586960"/>
          <a:chExt cx="1822430" cy="1295400"/>
        </a:xfrm>
      </xdr:grpSpPr>
      <xdr:sp macro="" textlink="">
        <xdr:nvSpPr>
          <xdr:cNvPr id="62" name="Arrow: Right 61">
            <a:extLst>
              <a:ext uri="{FF2B5EF4-FFF2-40B4-BE49-F238E27FC236}">
                <a16:creationId xmlns:a16="http://schemas.microsoft.com/office/drawing/2014/main" id="{2BB2D8AB-F016-4F21-A4EB-BFA49CD6CDE1}"/>
              </a:ext>
            </a:extLst>
          </xdr:cNvPr>
          <xdr:cNvSpPr/>
        </xdr:nvSpPr>
        <xdr:spPr>
          <a:xfrm rot="10800000">
            <a:off x="10180320" y="17586960"/>
            <a:ext cx="1615440" cy="1295400"/>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63" name="TextBox 62">
            <a:hlinkClick xmlns:r="http://schemas.openxmlformats.org/officeDocument/2006/relationships" r:id="rId6"/>
            <a:extLst>
              <a:ext uri="{FF2B5EF4-FFF2-40B4-BE49-F238E27FC236}">
                <a16:creationId xmlns:a16="http://schemas.microsoft.com/office/drawing/2014/main" id="{2BB6FC9A-A9C6-4101-BD2A-D4803F5392B2}"/>
              </a:ext>
            </a:extLst>
          </xdr:cNvPr>
          <xdr:cNvSpPr txBox="1"/>
        </xdr:nvSpPr>
        <xdr:spPr>
          <a:xfrm>
            <a:off x="10344028" y="17844599"/>
            <a:ext cx="1658722" cy="865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0" i="0">
                <a:solidFill>
                  <a:srgbClr val="0070C0"/>
                </a:solidFill>
                <a:latin typeface="Arial" panose="020B0604020202020204" pitchFamily="34" charset="0"/>
                <a:cs typeface="Arial" panose="020B0604020202020204" pitchFamily="34" charset="0"/>
              </a:rPr>
              <a:t>Back to Consequences Worksheet</a:t>
            </a:r>
          </a:p>
        </xdr:txBody>
      </xdr:sp>
    </xdr:grpSp>
    <xdr:clientData/>
  </xdr:twoCellAnchor>
  <xdr:twoCellAnchor editAs="oneCell">
    <xdr:from>
      <xdr:col>2</xdr:col>
      <xdr:colOff>7968951</xdr:colOff>
      <xdr:row>355</xdr:row>
      <xdr:rowOff>726391</xdr:rowOff>
    </xdr:from>
    <xdr:to>
      <xdr:col>4</xdr:col>
      <xdr:colOff>918673</xdr:colOff>
      <xdr:row>355</xdr:row>
      <xdr:rowOff>1518391</xdr:rowOff>
    </xdr:to>
    <xdr:grpSp>
      <xdr:nvGrpSpPr>
        <xdr:cNvPr id="64" name="Group 63">
          <a:extLst>
            <a:ext uri="{FF2B5EF4-FFF2-40B4-BE49-F238E27FC236}">
              <a16:creationId xmlns:a16="http://schemas.microsoft.com/office/drawing/2014/main" id="{A82C26B5-682E-48EF-BD44-27D89B72F911}"/>
            </a:ext>
          </a:extLst>
        </xdr:cNvPr>
        <xdr:cNvGrpSpPr/>
      </xdr:nvGrpSpPr>
      <xdr:grpSpPr>
        <a:xfrm>
          <a:off x="9283012" y="93962534"/>
          <a:ext cx="1106232" cy="792000"/>
          <a:chOff x="10180320" y="17586960"/>
          <a:chExt cx="1822430" cy="1295400"/>
        </a:xfrm>
      </xdr:grpSpPr>
      <xdr:sp macro="" textlink="">
        <xdr:nvSpPr>
          <xdr:cNvPr id="65" name="Arrow: Right 64">
            <a:extLst>
              <a:ext uri="{FF2B5EF4-FFF2-40B4-BE49-F238E27FC236}">
                <a16:creationId xmlns:a16="http://schemas.microsoft.com/office/drawing/2014/main" id="{9057ED2C-181A-405C-A89A-9286A3A9A16F}"/>
              </a:ext>
            </a:extLst>
          </xdr:cNvPr>
          <xdr:cNvSpPr/>
        </xdr:nvSpPr>
        <xdr:spPr>
          <a:xfrm rot="10800000">
            <a:off x="10180320" y="17586960"/>
            <a:ext cx="1615440" cy="1295400"/>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66" name="TextBox 65">
            <a:hlinkClick xmlns:r="http://schemas.openxmlformats.org/officeDocument/2006/relationships" r:id="rId6"/>
            <a:extLst>
              <a:ext uri="{FF2B5EF4-FFF2-40B4-BE49-F238E27FC236}">
                <a16:creationId xmlns:a16="http://schemas.microsoft.com/office/drawing/2014/main" id="{C347B920-642F-4317-81E2-FEBE9DDCFD8E}"/>
              </a:ext>
            </a:extLst>
          </xdr:cNvPr>
          <xdr:cNvSpPr txBox="1"/>
        </xdr:nvSpPr>
        <xdr:spPr>
          <a:xfrm>
            <a:off x="10344028" y="17844599"/>
            <a:ext cx="1658722" cy="865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0" i="0">
                <a:solidFill>
                  <a:srgbClr val="0070C0"/>
                </a:solidFill>
                <a:latin typeface="Arial" panose="020B0604020202020204" pitchFamily="34" charset="0"/>
                <a:cs typeface="Arial" panose="020B0604020202020204" pitchFamily="34" charset="0"/>
              </a:rPr>
              <a:t>Back to Consequences Worksheet</a:t>
            </a:r>
          </a:p>
        </xdr:txBody>
      </xdr:sp>
    </xdr:grpSp>
    <xdr:clientData/>
  </xdr:twoCellAnchor>
  <xdr:twoCellAnchor editAs="oneCell">
    <xdr:from>
      <xdr:col>2</xdr:col>
      <xdr:colOff>7968951</xdr:colOff>
      <xdr:row>364</xdr:row>
      <xdr:rowOff>242129</xdr:rowOff>
    </xdr:from>
    <xdr:to>
      <xdr:col>4</xdr:col>
      <xdr:colOff>918673</xdr:colOff>
      <xdr:row>368</xdr:row>
      <xdr:rowOff>257744</xdr:rowOff>
    </xdr:to>
    <xdr:grpSp>
      <xdr:nvGrpSpPr>
        <xdr:cNvPr id="67" name="Group 66">
          <a:extLst>
            <a:ext uri="{FF2B5EF4-FFF2-40B4-BE49-F238E27FC236}">
              <a16:creationId xmlns:a16="http://schemas.microsoft.com/office/drawing/2014/main" id="{A5F5F749-89D9-48BF-83F0-0B48E0A4C2C8}"/>
            </a:ext>
          </a:extLst>
        </xdr:cNvPr>
        <xdr:cNvGrpSpPr/>
      </xdr:nvGrpSpPr>
      <xdr:grpSpPr>
        <a:xfrm>
          <a:off x="9283012" y="96434365"/>
          <a:ext cx="1106232" cy="799542"/>
          <a:chOff x="10180320" y="17586960"/>
          <a:chExt cx="1822430" cy="1295400"/>
        </a:xfrm>
      </xdr:grpSpPr>
      <xdr:sp macro="" textlink="">
        <xdr:nvSpPr>
          <xdr:cNvPr id="68" name="Arrow: Right 67">
            <a:extLst>
              <a:ext uri="{FF2B5EF4-FFF2-40B4-BE49-F238E27FC236}">
                <a16:creationId xmlns:a16="http://schemas.microsoft.com/office/drawing/2014/main" id="{92C7C4C0-64E2-49CB-8A52-3E6AA5A22DC6}"/>
              </a:ext>
            </a:extLst>
          </xdr:cNvPr>
          <xdr:cNvSpPr/>
        </xdr:nvSpPr>
        <xdr:spPr>
          <a:xfrm rot="10800000">
            <a:off x="10180320" y="17586960"/>
            <a:ext cx="1615440" cy="1295400"/>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69" name="TextBox 68">
            <a:hlinkClick xmlns:r="http://schemas.openxmlformats.org/officeDocument/2006/relationships" r:id="rId6"/>
            <a:extLst>
              <a:ext uri="{FF2B5EF4-FFF2-40B4-BE49-F238E27FC236}">
                <a16:creationId xmlns:a16="http://schemas.microsoft.com/office/drawing/2014/main" id="{9231E6FC-E89F-446E-A010-02B8115A0E04}"/>
              </a:ext>
            </a:extLst>
          </xdr:cNvPr>
          <xdr:cNvSpPr txBox="1"/>
        </xdr:nvSpPr>
        <xdr:spPr>
          <a:xfrm>
            <a:off x="10344028" y="17844599"/>
            <a:ext cx="1658722" cy="865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0" i="0">
                <a:solidFill>
                  <a:srgbClr val="0070C0"/>
                </a:solidFill>
                <a:latin typeface="Arial" panose="020B0604020202020204" pitchFamily="34" charset="0"/>
                <a:cs typeface="Arial" panose="020B0604020202020204" pitchFamily="34" charset="0"/>
              </a:rPr>
              <a:t>Back to Consequences Worksheet</a:t>
            </a:r>
          </a:p>
        </xdr:txBody>
      </xdr:sp>
    </xdr:grpSp>
    <xdr:clientData/>
  </xdr:twoCellAnchor>
  <xdr:twoCellAnchor editAs="oneCell">
    <xdr:from>
      <xdr:col>2</xdr:col>
      <xdr:colOff>8004558</xdr:colOff>
      <xdr:row>372</xdr:row>
      <xdr:rowOff>712147</xdr:rowOff>
    </xdr:from>
    <xdr:to>
      <xdr:col>5</xdr:col>
      <xdr:colOff>1780</xdr:colOff>
      <xdr:row>376</xdr:row>
      <xdr:rowOff>261731</xdr:rowOff>
    </xdr:to>
    <xdr:grpSp>
      <xdr:nvGrpSpPr>
        <xdr:cNvPr id="70" name="Group 69">
          <a:extLst>
            <a:ext uri="{FF2B5EF4-FFF2-40B4-BE49-F238E27FC236}">
              <a16:creationId xmlns:a16="http://schemas.microsoft.com/office/drawing/2014/main" id="{058671FC-4718-4E43-9057-5BE83A2A9638}"/>
            </a:ext>
          </a:extLst>
        </xdr:cNvPr>
        <xdr:cNvGrpSpPr/>
      </xdr:nvGrpSpPr>
      <xdr:grpSpPr>
        <a:xfrm>
          <a:off x="9318619" y="98826645"/>
          <a:ext cx="1110120" cy="798331"/>
          <a:chOff x="10180320" y="17586960"/>
          <a:chExt cx="1822430" cy="1295400"/>
        </a:xfrm>
      </xdr:grpSpPr>
      <xdr:sp macro="" textlink="">
        <xdr:nvSpPr>
          <xdr:cNvPr id="71" name="Arrow: Right 70">
            <a:extLst>
              <a:ext uri="{FF2B5EF4-FFF2-40B4-BE49-F238E27FC236}">
                <a16:creationId xmlns:a16="http://schemas.microsoft.com/office/drawing/2014/main" id="{80DEE254-82C8-4C86-A96E-D2759F9352A8}"/>
              </a:ext>
            </a:extLst>
          </xdr:cNvPr>
          <xdr:cNvSpPr/>
        </xdr:nvSpPr>
        <xdr:spPr>
          <a:xfrm rot="10800000">
            <a:off x="10180320" y="17586960"/>
            <a:ext cx="1615440" cy="1295400"/>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72" name="TextBox 71">
            <a:hlinkClick xmlns:r="http://schemas.openxmlformats.org/officeDocument/2006/relationships" r:id="rId6"/>
            <a:extLst>
              <a:ext uri="{FF2B5EF4-FFF2-40B4-BE49-F238E27FC236}">
                <a16:creationId xmlns:a16="http://schemas.microsoft.com/office/drawing/2014/main" id="{045C5840-EB52-49B7-8C77-1A5FC72CC028}"/>
              </a:ext>
            </a:extLst>
          </xdr:cNvPr>
          <xdr:cNvSpPr txBox="1"/>
        </xdr:nvSpPr>
        <xdr:spPr>
          <a:xfrm>
            <a:off x="10344028" y="17844599"/>
            <a:ext cx="1658722" cy="865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0" i="0">
                <a:solidFill>
                  <a:srgbClr val="0070C0"/>
                </a:solidFill>
                <a:latin typeface="Arial" panose="020B0604020202020204" pitchFamily="34" charset="0"/>
                <a:cs typeface="Arial" panose="020B0604020202020204" pitchFamily="34" charset="0"/>
              </a:rPr>
              <a:t>Back to Consequences Worksheet</a:t>
            </a:r>
          </a:p>
        </xdr:txBody>
      </xdr:sp>
    </xdr:grpSp>
    <xdr:clientData/>
  </xdr:twoCellAnchor>
  <xdr:twoCellAnchor editAs="oneCell">
    <xdr:from>
      <xdr:col>2</xdr:col>
      <xdr:colOff>8011680</xdr:colOff>
      <xdr:row>384</xdr:row>
      <xdr:rowOff>555474</xdr:rowOff>
    </xdr:from>
    <xdr:to>
      <xdr:col>5</xdr:col>
      <xdr:colOff>7121</xdr:colOff>
      <xdr:row>388</xdr:row>
      <xdr:rowOff>115455</xdr:rowOff>
    </xdr:to>
    <xdr:grpSp>
      <xdr:nvGrpSpPr>
        <xdr:cNvPr id="73" name="Group 72">
          <a:extLst>
            <a:ext uri="{FF2B5EF4-FFF2-40B4-BE49-F238E27FC236}">
              <a16:creationId xmlns:a16="http://schemas.microsoft.com/office/drawing/2014/main" id="{FE5355C1-CDB9-4B17-AED1-DEDF30126646}"/>
            </a:ext>
          </a:extLst>
        </xdr:cNvPr>
        <xdr:cNvGrpSpPr/>
      </xdr:nvGrpSpPr>
      <xdr:grpSpPr>
        <a:xfrm>
          <a:off x="9325741" y="103130005"/>
          <a:ext cx="1108339" cy="975123"/>
          <a:chOff x="10180320" y="17586960"/>
          <a:chExt cx="1822430" cy="1295400"/>
        </a:xfrm>
      </xdr:grpSpPr>
      <xdr:sp macro="" textlink="">
        <xdr:nvSpPr>
          <xdr:cNvPr id="74" name="Arrow: Right 73">
            <a:extLst>
              <a:ext uri="{FF2B5EF4-FFF2-40B4-BE49-F238E27FC236}">
                <a16:creationId xmlns:a16="http://schemas.microsoft.com/office/drawing/2014/main" id="{153082AE-104E-4B04-8C9A-858574AFD9DA}"/>
              </a:ext>
            </a:extLst>
          </xdr:cNvPr>
          <xdr:cNvSpPr/>
        </xdr:nvSpPr>
        <xdr:spPr>
          <a:xfrm rot="10800000">
            <a:off x="10180320" y="17586960"/>
            <a:ext cx="1615440" cy="1295400"/>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75" name="TextBox 74">
            <a:hlinkClick xmlns:r="http://schemas.openxmlformats.org/officeDocument/2006/relationships" r:id="rId6"/>
            <a:extLst>
              <a:ext uri="{FF2B5EF4-FFF2-40B4-BE49-F238E27FC236}">
                <a16:creationId xmlns:a16="http://schemas.microsoft.com/office/drawing/2014/main" id="{3E25A884-5976-46BE-8835-6C07862F5930}"/>
              </a:ext>
            </a:extLst>
          </xdr:cNvPr>
          <xdr:cNvSpPr txBox="1"/>
        </xdr:nvSpPr>
        <xdr:spPr>
          <a:xfrm>
            <a:off x="10344028" y="17844599"/>
            <a:ext cx="1658722" cy="865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0" i="0">
                <a:solidFill>
                  <a:srgbClr val="0070C0"/>
                </a:solidFill>
                <a:latin typeface="Arial" panose="020B0604020202020204" pitchFamily="34" charset="0"/>
                <a:cs typeface="Arial" panose="020B0604020202020204" pitchFamily="34" charset="0"/>
              </a:rPr>
              <a:t>Back to Consequences Worksheet</a:t>
            </a:r>
          </a:p>
        </xdr:txBody>
      </xdr:sp>
    </xdr:grpSp>
    <xdr:clientData/>
  </xdr:twoCellAnchor>
  <xdr:twoCellAnchor editAs="oneCell">
    <xdr:from>
      <xdr:col>2</xdr:col>
      <xdr:colOff>8004558</xdr:colOff>
      <xdr:row>222</xdr:row>
      <xdr:rowOff>128187</xdr:rowOff>
    </xdr:from>
    <xdr:to>
      <xdr:col>4</xdr:col>
      <xdr:colOff>852110</xdr:colOff>
      <xdr:row>226</xdr:row>
      <xdr:rowOff>244037</xdr:rowOff>
    </xdr:to>
    <xdr:grpSp>
      <xdr:nvGrpSpPr>
        <xdr:cNvPr id="77" name="Group 76">
          <a:extLst>
            <a:ext uri="{FF2B5EF4-FFF2-40B4-BE49-F238E27FC236}">
              <a16:creationId xmlns:a16="http://schemas.microsoft.com/office/drawing/2014/main" id="{2A464E3F-A381-4C5E-8D6C-2797A8D8AC6D}"/>
            </a:ext>
          </a:extLst>
        </xdr:cNvPr>
        <xdr:cNvGrpSpPr/>
      </xdr:nvGrpSpPr>
      <xdr:grpSpPr>
        <a:xfrm>
          <a:off x="9318619" y="55458718"/>
          <a:ext cx="1004062" cy="831197"/>
          <a:chOff x="10180320" y="17586960"/>
          <a:chExt cx="1653748" cy="1295400"/>
        </a:xfrm>
      </xdr:grpSpPr>
      <xdr:sp macro="" textlink="">
        <xdr:nvSpPr>
          <xdr:cNvPr id="78" name="Arrow: Right 77">
            <a:extLst>
              <a:ext uri="{FF2B5EF4-FFF2-40B4-BE49-F238E27FC236}">
                <a16:creationId xmlns:a16="http://schemas.microsoft.com/office/drawing/2014/main" id="{C19BCE2E-AABF-4B4C-8781-486179D2B3C5}"/>
              </a:ext>
            </a:extLst>
          </xdr:cNvPr>
          <xdr:cNvSpPr/>
        </xdr:nvSpPr>
        <xdr:spPr>
          <a:xfrm rot="10800000">
            <a:off x="10180320" y="17586960"/>
            <a:ext cx="1615440" cy="1295400"/>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79" name="TextBox 78">
            <a:hlinkClick xmlns:r="http://schemas.openxmlformats.org/officeDocument/2006/relationships" r:id="rId3"/>
            <a:extLst>
              <a:ext uri="{FF2B5EF4-FFF2-40B4-BE49-F238E27FC236}">
                <a16:creationId xmlns:a16="http://schemas.microsoft.com/office/drawing/2014/main" id="{469298EF-75F8-4A43-95C7-515494E3FD5B}"/>
              </a:ext>
            </a:extLst>
          </xdr:cNvPr>
          <xdr:cNvSpPr txBox="1"/>
        </xdr:nvSpPr>
        <xdr:spPr>
          <a:xfrm>
            <a:off x="10355787" y="17861313"/>
            <a:ext cx="1478281" cy="865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0" i="0">
                <a:solidFill>
                  <a:srgbClr val="0070C0"/>
                </a:solidFill>
                <a:latin typeface="Arial" panose="020B0604020202020204" pitchFamily="34" charset="0"/>
                <a:cs typeface="Arial" panose="020B0604020202020204" pitchFamily="34" charset="0"/>
              </a:rPr>
              <a:t>Back to Likelihood Worksheet</a:t>
            </a:r>
          </a:p>
        </xdr:txBody>
      </xdr:sp>
    </xdr:grpSp>
    <xdr:clientData/>
  </xdr:twoCellAnchor>
  <xdr:twoCellAnchor editAs="oneCell">
    <xdr:from>
      <xdr:col>3</xdr:col>
      <xdr:colOff>49849</xdr:colOff>
      <xdr:row>275</xdr:row>
      <xdr:rowOff>121065</xdr:rowOff>
    </xdr:from>
    <xdr:to>
      <xdr:col>4</xdr:col>
      <xdr:colOff>923326</xdr:colOff>
      <xdr:row>277</xdr:row>
      <xdr:rowOff>73121</xdr:rowOff>
    </xdr:to>
    <xdr:grpSp>
      <xdr:nvGrpSpPr>
        <xdr:cNvPr id="80" name="Group 79">
          <a:extLst>
            <a:ext uri="{FF2B5EF4-FFF2-40B4-BE49-F238E27FC236}">
              <a16:creationId xmlns:a16="http://schemas.microsoft.com/office/drawing/2014/main" id="{6609D8E5-F4FB-4723-B5A0-F75D7ED3C308}"/>
            </a:ext>
          </a:extLst>
        </xdr:cNvPr>
        <xdr:cNvGrpSpPr/>
      </xdr:nvGrpSpPr>
      <xdr:grpSpPr>
        <a:xfrm>
          <a:off x="9388237" y="70038453"/>
          <a:ext cx="1005660" cy="830688"/>
          <a:chOff x="10180320" y="17586960"/>
          <a:chExt cx="1653748" cy="1295400"/>
        </a:xfrm>
      </xdr:grpSpPr>
      <xdr:sp macro="" textlink="">
        <xdr:nvSpPr>
          <xdr:cNvPr id="81" name="Arrow: Right 80">
            <a:extLst>
              <a:ext uri="{FF2B5EF4-FFF2-40B4-BE49-F238E27FC236}">
                <a16:creationId xmlns:a16="http://schemas.microsoft.com/office/drawing/2014/main" id="{AE6339D0-963C-413B-A478-7FBCFCEE95FD}"/>
              </a:ext>
            </a:extLst>
          </xdr:cNvPr>
          <xdr:cNvSpPr/>
        </xdr:nvSpPr>
        <xdr:spPr>
          <a:xfrm rot="10800000">
            <a:off x="10180320" y="17586960"/>
            <a:ext cx="1615440" cy="1295400"/>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82" name="TextBox 81">
            <a:hlinkClick xmlns:r="http://schemas.openxmlformats.org/officeDocument/2006/relationships" r:id="rId3"/>
            <a:extLst>
              <a:ext uri="{FF2B5EF4-FFF2-40B4-BE49-F238E27FC236}">
                <a16:creationId xmlns:a16="http://schemas.microsoft.com/office/drawing/2014/main" id="{3DD05D56-C064-4F75-8FB8-4A53D996F6F8}"/>
              </a:ext>
            </a:extLst>
          </xdr:cNvPr>
          <xdr:cNvSpPr txBox="1"/>
        </xdr:nvSpPr>
        <xdr:spPr>
          <a:xfrm>
            <a:off x="10355787" y="17861313"/>
            <a:ext cx="1478281" cy="865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0" i="0">
                <a:solidFill>
                  <a:srgbClr val="0070C0"/>
                </a:solidFill>
                <a:latin typeface="Arial" panose="020B0604020202020204" pitchFamily="34" charset="0"/>
                <a:cs typeface="Arial" panose="020B0604020202020204" pitchFamily="34" charset="0"/>
              </a:rPr>
              <a:t>Back to Likelihood Worksheet</a:t>
            </a:r>
          </a:p>
        </xdr:txBody>
      </xdr:sp>
    </xdr:grpSp>
    <xdr:clientData/>
  </xdr:twoCellAnchor>
  <xdr:twoCellAnchor editAs="oneCell">
    <xdr:from>
      <xdr:col>2</xdr:col>
      <xdr:colOff>8011692</xdr:colOff>
      <xdr:row>268</xdr:row>
      <xdr:rowOff>405914</xdr:rowOff>
    </xdr:from>
    <xdr:to>
      <xdr:col>4</xdr:col>
      <xdr:colOff>859244</xdr:colOff>
      <xdr:row>272</xdr:row>
      <xdr:rowOff>286755</xdr:rowOff>
    </xdr:to>
    <xdr:grpSp>
      <xdr:nvGrpSpPr>
        <xdr:cNvPr id="76" name="Group 75">
          <a:extLst>
            <a:ext uri="{FF2B5EF4-FFF2-40B4-BE49-F238E27FC236}">
              <a16:creationId xmlns:a16="http://schemas.microsoft.com/office/drawing/2014/main" id="{ADBE79BE-CED3-4FBC-8D31-719AB7B70332}"/>
            </a:ext>
          </a:extLst>
        </xdr:cNvPr>
        <xdr:cNvGrpSpPr/>
      </xdr:nvGrpSpPr>
      <xdr:grpSpPr>
        <a:xfrm>
          <a:off x="9325753" y="67010934"/>
          <a:ext cx="1004062" cy="829454"/>
          <a:chOff x="10180320" y="17586960"/>
          <a:chExt cx="1653748" cy="1295400"/>
        </a:xfrm>
      </xdr:grpSpPr>
      <xdr:sp macro="" textlink="">
        <xdr:nvSpPr>
          <xdr:cNvPr id="83" name="Arrow: Right 82">
            <a:extLst>
              <a:ext uri="{FF2B5EF4-FFF2-40B4-BE49-F238E27FC236}">
                <a16:creationId xmlns:a16="http://schemas.microsoft.com/office/drawing/2014/main" id="{45234FF6-DFF1-4091-A9D3-92E0F016D3BA}"/>
              </a:ext>
            </a:extLst>
          </xdr:cNvPr>
          <xdr:cNvSpPr/>
        </xdr:nvSpPr>
        <xdr:spPr>
          <a:xfrm rot="10800000">
            <a:off x="10180320" y="17586960"/>
            <a:ext cx="1615440" cy="1295400"/>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84" name="TextBox 83">
            <a:hlinkClick xmlns:r="http://schemas.openxmlformats.org/officeDocument/2006/relationships" r:id="rId3"/>
            <a:extLst>
              <a:ext uri="{FF2B5EF4-FFF2-40B4-BE49-F238E27FC236}">
                <a16:creationId xmlns:a16="http://schemas.microsoft.com/office/drawing/2014/main" id="{07F4FF8D-DD0C-4BD3-A8AB-6932CD69030C}"/>
              </a:ext>
            </a:extLst>
          </xdr:cNvPr>
          <xdr:cNvSpPr txBox="1"/>
        </xdr:nvSpPr>
        <xdr:spPr>
          <a:xfrm>
            <a:off x="10355787" y="17861313"/>
            <a:ext cx="1478281" cy="865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0" i="0">
                <a:solidFill>
                  <a:srgbClr val="0070C0"/>
                </a:solidFill>
                <a:latin typeface="Arial" panose="020B0604020202020204" pitchFamily="34" charset="0"/>
                <a:cs typeface="Arial" panose="020B0604020202020204" pitchFamily="34" charset="0"/>
              </a:rPr>
              <a:t>Back to Likelihood Worksheet</a:t>
            </a:r>
          </a:p>
        </xdr:txBody>
      </xdr:sp>
    </xdr:grpSp>
    <xdr:clientData/>
  </xdr:twoCellAnchor>
  <xdr:twoCellAnchor editAs="oneCell">
    <xdr:from>
      <xdr:col>2</xdr:col>
      <xdr:colOff>8004571</xdr:colOff>
      <xdr:row>296</xdr:row>
      <xdr:rowOff>1516893</xdr:rowOff>
    </xdr:from>
    <xdr:to>
      <xdr:col>4</xdr:col>
      <xdr:colOff>852123</xdr:colOff>
      <xdr:row>300</xdr:row>
      <xdr:rowOff>130108</xdr:rowOff>
    </xdr:to>
    <xdr:grpSp>
      <xdr:nvGrpSpPr>
        <xdr:cNvPr id="85" name="Group 84">
          <a:extLst>
            <a:ext uri="{FF2B5EF4-FFF2-40B4-BE49-F238E27FC236}">
              <a16:creationId xmlns:a16="http://schemas.microsoft.com/office/drawing/2014/main" id="{167EFF78-9FE9-41DF-84DF-DCF7EB7DEA5E}"/>
            </a:ext>
          </a:extLst>
        </xdr:cNvPr>
        <xdr:cNvGrpSpPr/>
      </xdr:nvGrpSpPr>
      <xdr:grpSpPr>
        <a:xfrm>
          <a:off x="9318632" y="79559689"/>
          <a:ext cx="1004062" cy="837011"/>
          <a:chOff x="10180320" y="17586960"/>
          <a:chExt cx="1653748" cy="1295400"/>
        </a:xfrm>
      </xdr:grpSpPr>
      <xdr:sp macro="" textlink="">
        <xdr:nvSpPr>
          <xdr:cNvPr id="86" name="Arrow: Right 85">
            <a:extLst>
              <a:ext uri="{FF2B5EF4-FFF2-40B4-BE49-F238E27FC236}">
                <a16:creationId xmlns:a16="http://schemas.microsoft.com/office/drawing/2014/main" id="{617C3E74-F334-492A-9D53-FD2722AE4522}"/>
              </a:ext>
            </a:extLst>
          </xdr:cNvPr>
          <xdr:cNvSpPr/>
        </xdr:nvSpPr>
        <xdr:spPr>
          <a:xfrm rot="10800000">
            <a:off x="10180320" y="17586960"/>
            <a:ext cx="1615440" cy="1295400"/>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87" name="TextBox 86">
            <a:hlinkClick xmlns:r="http://schemas.openxmlformats.org/officeDocument/2006/relationships" r:id="rId3"/>
            <a:extLst>
              <a:ext uri="{FF2B5EF4-FFF2-40B4-BE49-F238E27FC236}">
                <a16:creationId xmlns:a16="http://schemas.microsoft.com/office/drawing/2014/main" id="{A5726B32-C091-42BE-BF35-FEBD0D059472}"/>
              </a:ext>
            </a:extLst>
          </xdr:cNvPr>
          <xdr:cNvSpPr txBox="1"/>
        </xdr:nvSpPr>
        <xdr:spPr>
          <a:xfrm>
            <a:off x="10355787" y="17861313"/>
            <a:ext cx="1478281" cy="865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0" i="0">
                <a:solidFill>
                  <a:srgbClr val="0070C0"/>
                </a:solidFill>
                <a:latin typeface="Arial" panose="020B0604020202020204" pitchFamily="34" charset="0"/>
                <a:cs typeface="Arial" panose="020B0604020202020204" pitchFamily="34" charset="0"/>
              </a:rPr>
              <a:t>Back to Likelihood Worksheet</a:t>
            </a:r>
          </a:p>
        </xdr:txBody>
      </xdr:sp>
    </xdr:grpSp>
    <xdr:clientData/>
  </xdr:twoCellAnchor>
  <xdr:twoCellAnchor editAs="oneCell">
    <xdr:from>
      <xdr:col>2</xdr:col>
      <xdr:colOff>8018813</xdr:colOff>
      <xdr:row>289</xdr:row>
      <xdr:rowOff>142438</xdr:rowOff>
    </xdr:from>
    <xdr:to>
      <xdr:col>4</xdr:col>
      <xdr:colOff>866365</xdr:colOff>
      <xdr:row>294</xdr:row>
      <xdr:rowOff>85806</xdr:rowOff>
    </xdr:to>
    <xdr:grpSp>
      <xdr:nvGrpSpPr>
        <xdr:cNvPr id="88" name="Group 87">
          <a:extLst>
            <a:ext uri="{FF2B5EF4-FFF2-40B4-BE49-F238E27FC236}">
              <a16:creationId xmlns:a16="http://schemas.microsoft.com/office/drawing/2014/main" id="{62BB4A3E-9208-432E-AAED-C63210C3FB71}"/>
            </a:ext>
          </a:extLst>
        </xdr:cNvPr>
        <xdr:cNvGrpSpPr/>
      </xdr:nvGrpSpPr>
      <xdr:grpSpPr>
        <a:xfrm>
          <a:off x="9332874" y="76933377"/>
          <a:ext cx="1004062" cy="837551"/>
          <a:chOff x="10180320" y="17586960"/>
          <a:chExt cx="1653748" cy="1295400"/>
        </a:xfrm>
      </xdr:grpSpPr>
      <xdr:sp macro="" textlink="">
        <xdr:nvSpPr>
          <xdr:cNvPr id="89" name="Arrow: Right 88">
            <a:extLst>
              <a:ext uri="{FF2B5EF4-FFF2-40B4-BE49-F238E27FC236}">
                <a16:creationId xmlns:a16="http://schemas.microsoft.com/office/drawing/2014/main" id="{9271E73F-DC3D-493C-ABC5-BF06FDA074D7}"/>
              </a:ext>
            </a:extLst>
          </xdr:cNvPr>
          <xdr:cNvSpPr/>
        </xdr:nvSpPr>
        <xdr:spPr>
          <a:xfrm rot="10800000">
            <a:off x="10180320" y="17586960"/>
            <a:ext cx="1615440" cy="1295400"/>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90" name="TextBox 89">
            <a:hlinkClick xmlns:r="http://schemas.openxmlformats.org/officeDocument/2006/relationships" r:id="rId3"/>
            <a:extLst>
              <a:ext uri="{FF2B5EF4-FFF2-40B4-BE49-F238E27FC236}">
                <a16:creationId xmlns:a16="http://schemas.microsoft.com/office/drawing/2014/main" id="{E3F978FC-4AE5-4E81-BB62-CD8222355F4B}"/>
              </a:ext>
            </a:extLst>
          </xdr:cNvPr>
          <xdr:cNvSpPr txBox="1"/>
        </xdr:nvSpPr>
        <xdr:spPr>
          <a:xfrm>
            <a:off x="10355787" y="17861313"/>
            <a:ext cx="1478281" cy="865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0" i="0">
                <a:solidFill>
                  <a:srgbClr val="0070C0"/>
                </a:solidFill>
                <a:latin typeface="Arial" panose="020B0604020202020204" pitchFamily="34" charset="0"/>
                <a:cs typeface="Arial" panose="020B0604020202020204" pitchFamily="34" charset="0"/>
              </a:rPr>
              <a:t>Back to Likelihood Worksheet</a:t>
            </a:r>
          </a:p>
        </xdr:txBody>
      </xdr:sp>
    </xdr:grpSp>
    <xdr:clientData/>
  </xdr:twoCellAnchor>
  <xdr:twoCellAnchor editAs="oneCell">
    <xdr:from>
      <xdr:col>2</xdr:col>
      <xdr:colOff>38100</xdr:colOff>
      <xdr:row>305</xdr:row>
      <xdr:rowOff>57150</xdr:rowOff>
    </xdr:from>
    <xdr:to>
      <xdr:col>2</xdr:col>
      <xdr:colOff>6743700</xdr:colOff>
      <xdr:row>328</xdr:row>
      <xdr:rowOff>76200</xdr:rowOff>
    </xdr:to>
    <xdr:pic>
      <xdr:nvPicPr>
        <xdr:cNvPr id="15" name="Picture 14">
          <a:extLst>
            <a:ext uri="{FF2B5EF4-FFF2-40B4-BE49-F238E27FC236}">
              <a16:creationId xmlns:a16="http://schemas.microsoft.com/office/drawing/2014/main" id="{F363AC37-CD9E-4331-92E0-E41DCE48FFAD}"/>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1352550" y="83991450"/>
          <a:ext cx="6705600" cy="3962400"/>
        </a:xfrm>
        <a:prstGeom prst="rect">
          <a:avLst/>
        </a:prstGeom>
      </xdr:spPr>
    </xdr:pic>
    <xdr:clientData/>
  </xdr:twoCellAnchor>
  <xdr:twoCellAnchor>
    <xdr:from>
      <xdr:col>2</xdr:col>
      <xdr:colOff>2781300</xdr:colOff>
      <xdr:row>307</xdr:row>
      <xdr:rowOff>57150</xdr:rowOff>
    </xdr:from>
    <xdr:to>
      <xdr:col>2</xdr:col>
      <xdr:colOff>3767233</xdr:colOff>
      <xdr:row>308</xdr:row>
      <xdr:rowOff>135705</xdr:rowOff>
    </xdr:to>
    <xdr:grpSp>
      <xdr:nvGrpSpPr>
        <xdr:cNvPr id="94" name="Group 93">
          <a:extLst>
            <a:ext uri="{FF2B5EF4-FFF2-40B4-BE49-F238E27FC236}">
              <a16:creationId xmlns:a16="http://schemas.microsoft.com/office/drawing/2014/main" id="{334C1D4A-BC93-4198-A9E8-01699C8B04F3}"/>
            </a:ext>
          </a:extLst>
        </xdr:cNvPr>
        <xdr:cNvGrpSpPr/>
      </xdr:nvGrpSpPr>
      <xdr:grpSpPr>
        <a:xfrm>
          <a:off x="4095361" y="84001558"/>
          <a:ext cx="985933" cy="257392"/>
          <a:chOff x="530816" y="12772692"/>
          <a:chExt cx="2676957" cy="466927"/>
        </a:xfrm>
      </xdr:grpSpPr>
      <xdr:sp macro="" textlink="">
        <xdr:nvSpPr>
          <xdr:cNvPr id="95" name="Rectangle: Rounded Corners 94">
            <a:extLst>
              <a:ext uri="{FF2B5EF4-FFF2-40B4-BE49-F238E27FC236}">
                <a16:creationId xmlns:a16="http://schemas.microsoft.com/office/drawing/2014/main" id="{8740A474-B6AD-4C65-AAA9-9BBF15556A8D}"/>
              </a:ext>
            </a:extLst>
          </xdr:cNvPr>
          <xdr:cNvSpPr/>
        </xdr:nvSpPr>
        <xdr:spPr>
          <a:xfrm>
            <a:off x="530816" y="12812335"/>
            <a:ext cx="2676957" cy="389292"/>
          </a:xfrm>
          <a:prstGeom prst="roundRect">
            <a:avLst/>
          </a:prstGeom>
          <a:solidFill>
            <a:schemeClr val="accent6">
              <a:lumMod val="40000"/>
              <a:lumOff val="60000"/>
            </a:schemeClr>
          </a:solidFill>
          <a:ln w="12700"/>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AU" sz="1100"/>
          </a:p>
        </xdr:txBody>
      </xdr:sp>
      <xdr:sp macro="" textlink="">
        <xdr:nvSpPr>
          <xdr:cNvPr id="96" name="TextBox 95">
            <a:hlinkClick xmlns:r="http://schemas.openxmlformats.org/officeDocument/2006/relationships" r:id="rId9"/>
            <a:extLst>
              <a:ext uri="{FF2B5EF4-FFF2-40B4-BE49-F238E27FC236}">
                <a16:creationId xmlns:a16="http://schemas.microsoft.com/office/drawing/2014/main" id="{A48CE2C1-8D93-41D4-8D0D-536A5159C5DA}"/>
              </a:ext>
            </a:extLst>
          </xdr:cNvPr>
          <xdr:cNvSpPr txBox="1"/>
        </xdr:nvSpPr>
        <xdr:spPr>
          <a:xfrm>
            <a:off x="594425" y="12772692"/>
            <a:ext cx="2430494" cy="4669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u="sng">
                <a:solidFill>
                  <a:schemeClr val="accent5"/>
                </a:solidFill>
                <a:latin typeface="Arial" panose="020B0604020202020204" pitchFamily="34" charset="0"/>
                <a:cs typeface="Arial" panose="020B0604020202020204" pitchFamily="34" charset="0"/>
              </a:rPr>
              <a:t>Descriptors</a:t>
            </a:r>
            <a:endParaRPr lang="en-AU" sz="900" u="sng">
              <a:solidFill>
                <a:schemeClr val="accent5"/>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419100</xdr:colOff>
      <xdr:row>392</xdr:row>
      <xdr:rowOff>95250</xdr:rowOff>
    </xdr:from>
    <xdr:to>
      <xdr:col>4</xdr:col>
      <xdr:colOff>195251</xdr:colOff>
      <xdr:row>427</xdr:row>
      <xdr:rowOff>0</xdr:rowOff>
    </xdr:to>
    <xdr:pic>
      <xdr:nvPicPr>
        <xdr:cNvPr id="20" name="Picture 19">
          <a:extLst>
            <a:ext uri="{FF2B5EF4-FFF2-40B4-BE49-F238E27FC236}">
              <a16:creationId xmlns:a16="http://schemas.microsoft.com/office/drawing/2014/main" id="{1BECE904-2B46-4149-AD9B-5B14EEDB9E6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419100" y="108477050"/>
          <a:ext cx="9241884" cy="6127750"/>
        </a:xfrm>
        <a:prstGeom prst="rect">
          <a:avLst/>
        </a:prstGeom>
      </xdr:spPr>
    </xdr:pic>
    <xdr:clientData/>
  </xdr:twoCellAnchor>
  <xdr:twoCellAnchor>
    <xdr:from>
      <xdr:col>2</xdr:col>
      <xdr:colOff>1409700</xdr:colOff>
      <xdr:row>393</xdr:row>
      <xdr:rowOff>148166</xdr:rowOff>
    </xdr:from>
    <xdr:to>
      <xdr:col>2</xdr:col>
      <xdr:colOff>2395633</xdr:colOff>
      <xdr:row>395</xdr:row>
      <xdr:rowOff>48921</xdr:rowOff>
    </xdr:to>
    <xdr:grpSp>
      <xdr:nvGrpSpPr>
        <xdr:cNvPr id="97" name="Group 96">
          <a:extLst>
            <a:ext uri="{FF2B5EF4-FFF2-40B4-BE49-F238E27FC236}">
              <a16:creationId xmlns:a16="http://schemas.microsoft.com/office/drawing/2014/main" id="{0B590B45-C8D9-45BD-B1F9-A0C70EB00916}"/>
            </a:ext>
          </a:extLst>
        </xdr:cNvPr>
        <xdr:cNvGrpSpPr/>
      </xdr:nvGrpSpPr>
      <xdr:grpSpPr>
        <a:xfrm>
          <a:off x="2723761" y="105552982"/>
          <a:ext cx="985933" cy="258429"/>
          <a:chOff x="530816" y="12772692"/>
          <a:chExt cx="2676957" cy="466927"/>
        </a:xfrm>
      </xdr:grpSpPr>
      <xdr:sp macro="" textlink="">
        <xdr:nvSpPr>
          <xdr:cNvPr id="98" name="Rectangle: Rounded Corners 97">
            <a:extLst>
              <a:ext uri="{FF2B5EF4-FFF2-40B4-BE49-F238E27FC236}">
                <a16:creationId xmlns:a16="http://schemas.microsoft.com/office/drawing/2014/main" id="{F386DA49-1CF4-4278-8201-DE82A832E29F}"/>
              </a:ext>
            </a:extLst>
          </xdr:cNvPr>
          <xdr:cNvSpPr/>
        </xdr:nvSpPr>
        <xdr:spPr>
          <a:xfrm>
            <a:off x="530816" y="12812335"/>
            <a:ext cx="2676957" cy="389292"/>
          </a:xfrm>
          <a:prstGeom prst="roundRect">
            <a:avLst/>
          </a:prstGeom>
          <a:solidFill>
            <a:schemeClr val="accent6">
              <a:lumMod val="40000"/>
              <a:lumOff val="60000"/>
            </a:schemeClr>
          </a:solidFill>
          <a:ln w="12700"/>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AU" sz="1100"/>
          </a:p>
        </xdr:txBody>
      </xdr:sp>
      <xdr:sp macro="" textlink="">
        <xdr:nvSpPr>
          <xdr:cNvPr id="99" name="TextBox 98">
            <a:hlinkClick xmlns:r="http://schemas.openxmlformats.org/officeDocument/2006/relationships" r:id="rId9"/>
            <a:extLst>
              <a:ext uri="{FF2B5EF4-FFF2-40B4-BE49-F238E27FC236}">
                <a16:creationId xmlns:a16="http://schemas.microsoft.com/office/drawing/2014/main" id="{48BB7C97-0632-496E-B099-1C7927701BB0}"/>
              </a:ext>
            </a:extLst>
          </xdr:cNvPr>
          <xdr:cNvSpPr txBox="1"/>
        </xdr:nvSpPr>
        <xdr:spPr>
          <a:xfrm>
            <a:off x="594425" y="12772692"/>
            <a:ext cx="2430494" cy="4669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u="sng">
                <a:solidFill>
                  <a:schemeClr val="accent5"/>
                </a:solidFill>
                <a:latin typeface="Arial" panose="020B0604020202020204" pitchFamily="34" charset="0"/>
                <a:cs typeface="Arial" panose="020B0604020202020204" pitchFamily="34" charset="0"/>
              </a:rPr>
              <a:t>Descriptors</a:t>
            </a:r>
            <a:endParaRPr lang="en-AU" sz="900" u="sng">
              <a:solidFill>
                <a:schemeClr val="accent5"/>
              </a:solidFill>
              <a:latin typeface="Arial" panose="020B0604020202020204" pitchFamily="34" charset="0"/>
              <a:cs typeface="Arial" panose="020B0604020202020204" pitchFamily="34" charset="0"/>
            </a:endParaRPr>
          </a:p>
        </xdr:txBody>
      </xdr:sp>
    </xdr:grpSp>
    <xdr:clientData/>
  </xdr:twoCellAnchor>
  <xdr:twoCellAnchor>
    <xdr:from>
      <xdr:col>2</xdr:col>
      <xdr:colOff>190500</xdr:colOff>
      <xdr:row>402</xdr:row>
      <xdr:rowOff>160020</xdr:rowOff>
    </xdr:from>
    <xdr:to>
      <xdr:col>2</xdr:col>
      <xdr:colOff>7863840</xdr:colOff>
      <xdr:row>424</xdr:row>
      <xdr:rowOff>99060</xdr:rowOff>
    </xdr:to>
    <xdr:sp macro="" textlink="">
      <xdr:nvSpPr>
        <xdr:cNvPr id="13" name="Rectangle 12">
          <a:extLst>
            <a:ext uri="{FF2B5EF4-FFF2-40B4-BE49-F238E27FC236}">
              <a16:creationId xmlns:a16="http://schemas.microsoft.com/office/drawing/2014/main" id="{A0D57850-8317-44C4-9C1F-FA2DB7A325FE}"/>
            </a:ext>
          </a:extLst>
        </xdr:cNvPr>
        <xdr:cNvSpPr/>
      </xdr:nvSpPr>
      <xdr:spPr>
        <a:xfrm>
          <a:off x="1501140" y="105948480"/>
          <a:ext cx="7673340" cy="3794760"/>
        </a:xfrm>
        <a:prstGeom prst="rect">
          <a:avLst/>
        </a:prstGeom>
        <a:pattFill prst="wdUpDiag">
          <a:fgClr>
            <a:schemeClr val="bg1">
              <a:lumMod val="75000"/>
            </a:schemeClr>
          </a:fgClr>
          <a:bgClr>
            <a:schemeClr val="bg1"/>
          </a:bgClr>
        </a:patt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xdr:col>
      <xdr:colOff>1626870</xdr:colOff>
      <xdr:row>312</xdr:row>
      <xdr:rowOff>22860</xdr:rowOff>
    </xdr:from>
    <xdr:to>
      <xdr:col>2</xdr:col>
      <xdr:colOff>6438900</xdr:colOff>
      <xdr:row>326</xdr:row>
      <xdr:rowOff>167640</xdr:rowOff>
    </xdr:to>
    <xdr:sp macro="" textlink="">
      <xdr:nvSpPr>
        <xdr:cNvPr id="92" name="Rectangle 91">
          <a:extLst>
            <a:ext uri="{FF2B5EF4-FFF2-40B4-BE49-F238E27FC236}">
              <a16:creationId xmlns:a16="http://schemas.microsoft.com/office/drawing/2014/main" id="{06434E5C-1C3A-4F63-95A1-4E3B0DF59EB7}"/>
            </a:ext>
          </a:extLst>
        </xdr:cNvPr>
        <xdr:cNvSpPr/>
      </xdr:nvSpPr>
      <xdr:spPr>
        <a:xfrm>
          <a:off x="2937510" y="83934300"/>
          <a:ext cx="4812030" cy="2598420"/>
        </a:xfrm>
        <a:prstGeom prst="rect">
          <a:avLst/>
        </a:prstGeom>
        <a:pattFill prst="wdUpDiag">
          <a:fgClr>
            <a:schemeClr val="bg1">
              <a:lumMod val="75000"/>
            </a:schemeClr>
          </a:fgClr>
          <a:bgClr>
            <a:schemeClr val="bg1"/>
          </a:bgClr>
        </a:patt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xdr:col>
      <xdr:colOff>525780</xdr:colOff>
      <xdr:row>407</xdr:row>
      <xdr:rowOff>144780</xdr:rowOff>
    </xdr:from>
    <xdr:to>
      <xdr:col>2</xdr:col>
      <xdr:colOff>5836920</xdr:colOff>
      <xdr:row>414</xdr:row>
      <xdr:rowOff>30480</xdr:rowOff>
    </xdr:to>
    <xdr:sp macro="" textlink="">
      <xdr:nvSpPr>
        <xdr:cNvPr id="93" name="TextBox 92">
          <a:extLst>
            <a:ext uri="{FF2B5EF4-FFF2-40B4-BE49-F238E27FC236}">
              <a16:creationId xmlns:a16="http://schemas.microsoft.com/office/drawing/2014/main" id="{3CFCFA62-EECF-4C83-A54C-B9B67B398A8C}"/>
            </a:ext>
          </a:extLst>
        </xdr:cNvPr>
        <xdr:cNvSpPr txBox="1"/>
      </xdr:nvSpPr>
      <xdr:spPr>
        <a:xfrm rot="-2040000">
          <a:off x="1851660" y="109613700"/>
          <a:ext cx="5311140" cy="11658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3200" b="1">
              <a:solidFill>
                <a:srgbClr val="00B050"/>
              </a:solidFill>
            </a:rPr>
            <a:t>Trial</a:t>
          </a:r>
          <a:r>
            <a:rPr lang="en-AU" sz="3200" b="1" baseline="0">
              <a:solidFill>
                <a:srgbClr val="00B050"/>
              </a:solidFill>
            </a:rPr>
            <a:t> version</a:t>
          </a:r>
        </a:p>
        <a:p>
          <a:pPr algn="ctr"/>
          <a:r>
            <a:rPr lang="en-AU" sz="3200" b="1" baseline="0">
              <a:solidFill>
                <a:srgbClr val="00B050"/>
              </a:solidFill>
            </a:rPr>
            <a:t>www.foodfraudadvisors.com</a:t>
          </a:r>
          <a:endParaRPr lang="en-AU" sz="3200" b="1">
            <a:solidFill>
              <a:srgbClr val="00B050"/>
            </a:solidFill>
          </a:endParaRPr>
        </a:p>
      </xdr:txBody>
    </xdr:sp>
    <xdr:clientData/>
  </xdr:twoCellAnchor>
  <xdr:twoCellAnchor>
    <xdr:from>
      <xdr:col>2</xdr:col>
      <xdr:colOff>1108709</xdr:colOff>
      <xdr:row>316</xdr:row>
      <xdr:rowOff>7621</xdr:rowOff>
    </xdr:from>
    <xdr:to>
      <xdr:col>2</xdr:col>
      <xdr:colOff>6419849</xdr:colOff>
      <xdr:row>322</xdr:row>
      <xdr:rowOff>76201</xdr:rowOff>
    </xdr:to>
    <xdr:sp macro="" textlink="">
      <xdr:nvSpPr>
        <xdr:cNvPr id="100" name="TextBox 99">
          <a:extLst>
            <a:ext uri="{FF2B5EF4-FFF2-40B4-BE49-F238E27FC236}">
              <a16:creationId xmlns:a16="http://schemas.microsoft.com/office/drawing/2014/main" id="{D88122B4-B48F-43D0-92E6-2235DFDD0714}"/>
            </a:ext>
          </a:extLst>
        </xdr:cNvPr>
        <xdr:cNvSpPr txBox="1"/>
      </xdr:nvSpPr>
      <xdr:spPr>
        <a:xfrm rot="-2040000">
          <a:off x="2434589" y="86768941"/>
          <a:ext cx="5311140" cy="11658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3200" b="1">
              <a:solidFill>
                <a:srgbClr val="00B050"/>
              </a:solidFill>
            </a:rPr>
            <a:t>Trial</a:t>
          </a:r>
          <a:r>
            <a:rPr lang="en-AU" sz="3200" b="1" baseline="0">
              <a:solidFill>
                <a:srgbClr val="00B050"/>
              </a:solidFill>
            </a:rPr>
            <a:t> version</a:t>
          </a:r>
        </a:p>
        <a:p>
          <a:pPr algn="ctr"/>
          <a:r>
            <a:rPr lang="en-AU" sz="3200" b="1" baseline="0">
              <a:solidFill>
                <a:srgbClr val="00B050"/>
              </a:solidFill>
            </a:rPr>
            <a:t>www.foodfraudadvisors.com</a:t>
          </a:r>
          <a:endParaRPr lang="en-AU" sz="3200" b="1">
            <a:solidFill>
              <a:srgbClr val="00B050"/>
            </a:solidFill>
          </a:endParaRPr>
        </a:p>
      </xdr:txBody>
    </xdr:sp>
    <xdr:clientData/>
  </xdr:twoCellAnchor>
  <xdr:oneCellAnchor>
    <xdr:from>
      <xdr:col>0</xdr:col>
      <xdr:colOff>147736</xdr:colOff>
      <xdr:row>165</xdr:row>
      <xdr:rowOff>15551</xdr:rowOff>
    </xdr:from>
    <xdr:ext cx="1004131" cy="1815982"/>
    <xdr:sp macro="" textlink="">
      <xdr:nvSpPr>
        <xdr:cNvPr id="101" name="TextBox 100">
          <a:extLst>
            <a:ext uri="{FF2B5EF4-FFF2-40B4-BE49-F238E27FC236}">
              <a16:creationId xmlns:a16="http://schemas.microsoft.com/office/drawing/2014/main" id="{C2CE7F6F-F5F9-428E-946D-60F5ED004249}"/>
            </a:ext>
          </a:extLst>
        </xdr:cNvPr>
        <xdr:cNvSpPr txBox="1"/>
      </xdr:nvSpPr>
      <xdr:spPr>
        <a:xfrm>
          <a:off x="147736" y="41295735"/>
          <a:ext cx="1004131" cy="1815982"/>
        </a:xfrm>
        <a:prstGeom prst="rect">
          <a:avLst/>
        </a:prstGeom>
        <a:solidFill>
          <a:schemeClr val="accent4">
            <a:lumMod val="20000"/>
            <a:lumOff val="80000"/>
          </a:schemeClr>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bg2">
                  <a:lumMod val="50000"/>
                </a:schemeClr>
              </a:solidFill>
            </a:rPr>
            <a:t>Can't see the dropdown</a:t>
          </a:r>
          <a:r>
            <a:rPr lang="en-AU" sz="1100" baseline="0">
              <a:solidFill>
                <a:schemeClr val="bg2">
                  <a:lumMod val="50000"/>
                </a:schemeClr>
              </a:solidFill>
            </a:rPr>
            <a:t> list?  Click and hold the cell and look for the small grey box that appears in the lower right corner.</a:t>
          </a:r>
          <a:endParaRPr lang="en-AU" sz="1100">
            <a:solidFill>
              <a:schemeClr val="bg2">
                <a:lumMod val="50000"/>
              </a:schemeClr>
            </a:solidFill>
          </a:endParaRP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2</xdr:col>
      <xdr:colOff>285750</xdr:colOff>
      <xdr:row>6</xdr:row>
      <xdr:rowOff>114299</xdr:rowOff>
    </xdr:from>
    <xdr:to>
      <xdr:col>8</xdr:col>
      <xdr:colOff>22860</xdr:colOff>
      <xdr:row>11</xdr:row>
      <xdr:rowOff>30480</xdr:rowOff>
    </xdr:to>
    <xdr:sp macro="" textlink="">
      <xdr:nvSpPr>
        <xdr:cNvPr id="2" name="TextBox 1">
          <a:extLst>
            <a:ext uri="{FF2B5EF4-FFF2-40B4-BE49-F238E27FC236}">
              <a16:creationId xmlns:a16="http://schemas.microsoft.com/office/drawing/2014/main" id="{D4F62EF3-2B63-492F-A301-C0E3FED201A5}"/>
            </a:ext>
          </a:extLst>
        </xdr:cNvPr>
        <xdr:cNvSpPr txBox="1"/>
      </xdr:nvSpPr>
      <xdr:spPr>
        <a:xfrm>
          <a:off x="7395210" y="1821179"/>
          <a:ext cx="3996690" cy="2872741"/>
        </a:xfrm>
        <a:prstGeom prst="rect">
          <a:avLst/>
        </a:prstGeom>
        <a:solidFill>
          <a:schemeClr val="bg1">
            <a:lumMod val="85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1" fontAlgn="auto" latinLnBrk="0" hangingPunct="1"/>
          <a:r>
            <a:rPr lang="en-US" sz="1400" b="1" i="0" baseline="0">
              <a:solidFill>
                <a:srgbClr val="FF0000"/>
              </a:solidFill>
              <a:effectLst/>
              <a:latin typeface="+mn-lt"/>
              <a:ea typeface="+mn-ea"/>
              <a:cs typeface="+mn-cs"/>
            </a:rPr>
            <a:t>Instructions</a:t>
          </a:r>
          <a:endParaRPr lang="en-AU" sz="1400">
            <a:solidFill>
              <a:srgbClr val="FF0000"/>
            </a:solidFill>
            <a:effectLst/>
          </a:endParaRPr>
        </a:p>
        <a:p>
          <a:pPr rtl="0" eaLnBrk="1" fontAlgn="auto" latinLnBrk="0" hangingPunct="1"/>
          <a:endParaRPr lang="en-US" sz="1100" b="0" i="0" baseline="0">
            <a:solidFill>
              <a:schemeClr val="dk1"/>
            </a:solidFill>
            <a:effectLst/>
            <a:latin typeface="+mn-lt"/>
            <a:ea typeface="+mn-ea"/>
            <a:cs typeface="+mn-cs"/>
          </a:endParaRPr>
        </a:p>
        <a:p>
          <a:pPr rtl="0" eaLnBrk="1" fontAlgn="auto" latinLnBrk="0" hangingPunct="1"/>
          <a:r>
            <a:rPr lang="en-US" sz="1200" b="0" i="0" baseline="0">
              <a:solidFill>
                <a:srgbClr val="FF0000"/>
              </a:solidFill>
              <a:effectLst/>
              <a:latin typeface="+mn-lt"/>
              <a:ea typeface="+mn-ea"/>
              <a:cs typeface="+mn-cs"/>
            </a:rPr>
            <a:t>Using this sheet is optional.</a:t>
          </a:r>
        </a:p>
        <a:p>
          <a:pPr rtl="0" eaLnBrk="1" fontAlgn="auto" latinLnBrk="0" hangingPunct="1"/>
          <a:endParaRPr lang="en-US" sz="1100" b="0" i="0" baseline="0">
            <a:solidFill>
              <a:srgbClr val="FF0000"/>
            </a:solidFill>
            <a:effectLst/>
            <a:latin typeface="+mn-lt"/>
            <a:ea typeface="+mn-ea"/>
            <a:cs typeface="+mn-cs"/>
          </a:endParaRPr>
        </a:p>
        <a:p>
          <a:pPr rtl="0" eaLnBrk="1" fontAlgn="auto" latinLnBrk="0" hangingPunct="1"/>
          <a:r>
            <a:rPr lang="en-US" sz="1200" b="0" i="0" baseline="0">
              <a:solidFill>
                <a:srgbClr val="FF0000"/>
              </a:solidFill>
              <a:effectLst/>
              <a:latin typeface="+mn-lt"/>
              <a:ea typeface="+mn-ea"/>
              <a:cs typeface="+mn-cs"/>
            </a:rPr>
            <a:t>Briefly describe actions in the white boxes.  Detailed plans, programs and monitoring results should be provided in a separate document. </a:t>
          </a:r>
        </a:p>
        <a:p>
          <a:pPr rtl="0" eaLnBrk="1" fontAlgn="auto" latinLnBrk="0" hangingPunct="1"/>
          <a:endParaRPr lang="en-US" sz="1200" b="0" i="0" baseline="0">
            <a:solidFill>
              <a:srgbClr val="FF0000"/>
            </a:solidFill>
            <a:effectLst/>
            <a:latin typeface="+mn-lt"/>
            <a:ea typeface="+mn-ea"/>
            <a:cs typeface="+mn-cs"/>
          </a:endParaRPr>
        </a:p>
        <a:p>
          <a:pPr rtl="0" eaLnBrk="1" fontAlgn="auto" latinLnBrk="0" hangingPunct="1"/>
          <a:r>
            <a:rPr lang="en-US" sz="1200" b="0" i="0" baseline="0">
              <a:solidFill>
                <a:srgbClr val="FF0000"/>
              </a:solidFill>
              <a:effectLst/>
              <a:latin typeface="+mn-lt"/>
              <a:ea typeface="+mn-ea"/>
              <a:cs typeface="+mn-cs"/>
            </a:rPr>
            <a:t>The words you type here will appear in the Controls report, which is formatted for printing. </a:t>
          </a:r>
          <a:endParaRPr lang="en-AU" sz="1400">
            <a:solidFill>
              <a:srgbClr val="FF0000"/>
            </a:solidFill>
            <a:effectLst/>
          </a:endParaRPr>
        </a:p>
        <a:p>
          <a:pPr marL="0" marR="0" indent="0" defTabSz="914400" rtl="0" eaLnBrk="1" fontAlgn="auto" latinLnBrk="0" hangingPunct="1">
            <a:lnSpc>
              <a:spcPct val="100000"/>
            </a:lnSpc>
            <a:spcBef>
              <a:spcPts val="0"/>
            </a:spcBef>
            <a:spcAft>
              <a:spcPts val="0"/>
            </a:spcAft>
            <a:buClrTx/>
            <a:buSzTx/>
            <a:buFontTx/>
            <a:buNone/>
            <a:tabLst/>
            <a:defRPr/>
          </a:pPr>
          <a:endParaRPr lang="en-US" sz="14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Hint:  To start typing on a new line inside the white cell (a 'carriage return'), press the Alt key and Enter key together</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xdr:txBody>
    </xdr:sp>
    <xdr:clientData/>
  </xdr:twoCellAnchor>
  <xdr:twoCellAnchor>
    <xdr:from>
      <xdr:col>1</xdr:col>
      <xdr:colOff>6019800</xdr:colOff>
      <xdr:row>6</xdr:row>
      <xdr:rowOff>257175</xdr:rowOff>
    </xdr:from>
    <xdr:to>
      <xdr:col>2</xdr:col>
      <xdr:colOff>238125</xdr:colOff>
      <xdr:row>6</xdr:row>
      <xdr:rowOff>571500</xdr:rowOff>
    </xdr:to>
    <xdr:sp macro="" textlink="">
      <xdr:nvSpPr>
        <xdr:cNvPr id="3" name="Right Arrow 2">
          <a:extLst>
            <a:ext uri="{FF2B5EF4-FFF2-40B4-BE49-F238E27FC236}">
              <a16:creationId xmlns:a16="http://schemas.microsoft.com/office/drawing/2014/main" id="{3802B6F9-B1E8-4916-A325-264818CFFD8E}"/>
            </a:ext>
          </a:extLst>
        </xdr:cNvPr>
        <xdr:cNvSpPr/>
      </xdr:nvSpPr>
      <xdr:spPr>
        <a:xfrm rot="10800000">
          <a:off x="6629400" y="1971675"/>
          <a:ext cx="523875" cy="314325"/>
        </a:xfrm>
        <a:prstGeom prst="rightArrow">
          <a:avLst/>
        </a:prstGeom>
        <a:solidFill>
          <a:schemeClr val="bg1">
            <a:lumMod val="85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0</xdr:colOff>
      <xdr:row>6</xdr:row>
      <xdr:rowOff>0</xdr:rowOff>
    </xdr:from>
    <xdr:to>
      <xdr:col>1</xdr:col>
      <xdr:colOff>5311140</xdr:colOff>
      <xdr:row>7</xdr:row>
      <xdr:rowOff>45720</xdr:rowOff>
    </xdr:to>
    <xdr:sp macro="" textlink="">
      <xdr:nvSpPr>
        <xdr:cNvPr id="4" name="TextBox 3">
          <a:extLst>
            <a:ext uri="{FF2B5EF4-FFF2-40B4-BE49-F238E27FC236}">
              <a16:creationId xmlns:a16="http://schemas.microsoft.com/office/drawing/2014/main" id="{43E32750-0EC5-4BC2-805E-5F8552A5A9D6}"/>
            </a:ext>
          </a:extLst>
        </xdr:cNvPr>
        <xdr:cNvSpPr txBox="1"/>
      </xdr:nvSpPr>
      <xdr:spPr>
        <a:xfrm rot="-2040000">
          <a:off x="624840" y="1706880"/>
          <a:ext cx="5311140" cy="11125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3200" b="1">
              <a:solidFill>
                <a:srgbClr val="00B050"/>
              </a:solidFill>
            </a:rPr>
            <a:t>Trial</a:t>
          </a:r>
          <a:r>
            <a:rPr lang="en-AU" sz="3200" b="1" baseline="0">
              <a:solidFill>
                <a:srgbClr val="00B050"/>
              </a:solidFill>
            </a:rPr>
            <a:t> version</a:t>
          </a:r>
        </a:p>
        <a:p>
          <a:pPr algn="ctr"/>
          <a:r>
            <a:rPr lang="en-AU" sz="3200" b="1" baseline="0">
              <a:solidFill>
                <a:srgbClr val="00B050"/>
              </a:solidFill>
            </a:rPr>
            <a:t>www.foodfraudadvisors.com</a:t>
          </a:r>
          <a:endParaRPr lang="en-AU" sz="3200" b="1">
            <a:solidFill>
              <a:srgbClr val="00B05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381001</xdr:colOff>
      <xdr:row>5</xdr:row>
      <xdr:rowOff>171451</xdr:rowOff>
    </xdr:from>
    <xdr:to>
      <xdr:col>15</xdr:col>
      <xdr:colOff>885824</xdr:colOff>
      <xdr:row>14</xdr:row>
      <xdr:rowOff>1379220</xdr:rowOff>
    </xdr:to>
    <xdr:sp macro="" textlink="">
      <xdr:nvSpPr>
        <xdr:cNvPr id="2" name="TextBox 1">
          <a:extLst>
            <a:ext uri="{FF2B5EF4-FFF2-40B4-BE49-F238E27FC236}">
              <a16:creationId xmlns:a16="http://schemas.microsoft.com/office/drawing/2014/main" id="{CE174CE0-2A01-4587-A6E1-6E0C77EE22F7}"/>
            </a:ext>
          </a:extLst>
        </xdr:cNvPr>
        <xdr:cNvSpPr txBox="1"/>
      </xdr:nvSpPr>
      <xdr:spPr>
        <a:xfrm>
          <a:off x="6355081" y="1383031"/>
          <a:ext cx="4695823" cy="3044189"/>
        </a:xfrm>
        <a:prstGeom prst="rect">
          <a:avLst/>
        </a:prstGeom>
        <a:solidFill>
          <a:schemeClr val="bg1">
            <a:lumMod val="85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US" sz="1200" b="1" i="0" baseline="0">
              <a:solidFill>
                <a:srgbClr val="FF0000"/>
              </a:solidFill>
              <a:effectLst/>
              <a:latin typeface="+mn-lt"/>
              <a:ea typeface="+mn-ea"/>
              <a:cs typeface="+mn-cs"/>
            </a:rPr>
            <a:t>Prevention, detection and mitigation activities</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The information here can be edited by returning to the </a:t>
          </a:r>
          <a:r>
            <a:rPr lang="en-US" sz="1200" b="0" i="1" baseline="0">
              <a:solidFill>
                <a:srgbClr val="FF0000"/>
              </a:solidFill>
              <a:effectLst/>
              <a:latin typeface="+mn-lt"/>
              <a:ea typeface="+mn-ea"/>
              <a:cs typeface="+mn-cs"/>
            </a:rPr>
            <a:t>Controls worksheet</a:t>
          </a:r>
          <a:r>
            <a:rPr lang="en-US" sz="1200" b="0" i="0" baseline="0">
              <a:solidFill>
                <a:srgbClr val="FF0000"/>
              </a:solidFill>
              <a:effectLst/>
              <a:latin typeface="+mn-lt"/>
              <a:ea typeface="+mn-ea"/>
              <a:cs typeface="+mn-cs"/>
            </a:rPr>
            <a:t> .</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The results on this sheet can be printed to paper, exported to pdf or you can copy and paste the results into a larger document.  Be sure to add document control features including page numbers, document identification and date or version number. </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If you are pasting into an excel document use the 'Paste special' function, then choose 'values' to avoid copying formulas that will look strange in the new spreadsheet. </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solidFill>
                <a:srgbClr val="FF0000"/>
              </a:solidFill>
              <a:effectLst/>
              <a:latin typeface="+mn-lt"/>
              <a:ea typeface="+mn-ea"/>
              <a:cs typeface="+mn-cs"/>
            </a:rPr>
            <a:t>Delete this text box prior to printing.</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solidFill>
              <a:srgbClr val="FF0000"/>
            </a:solidFill>
            <a:effectLst/>
            <a:latin typeface="+mn-lt"/>
            <a:ea typeface="+mn-ea"/>
            <a:cs typeface="+mn-cs"/>
          </a:endParaRPr>
        </a:p>
      </xdr:txBody>
    </xdr:sp>
    <xdr:clientData/>
  </xdr:twoCellAnchor>
  <xdr:twoCellAnchor>
    <xdr:from>
      <xdr:col>7</xdr:col>
      <xdr:colOff>190500</xdr:colOff>
      <xdr:row>14</xdr:row>
      <xdr:rowOff>85725</xdr:rowOff>
    </xdr:from>
    <xdr:to>
      <xdr:col>8</xdr:col>
      <xdr:colOff>266700</xdr:colOff>
      <xdr:row>14</xdr:row>
      <xdr:rowOff>400050</xdr:rowOff>
    </xdr:to>
    <xdr:sp macro="" textlink="">
      <xdr:nvSpPr>
        <xdr:cNvPr id="4" name="Right Arrow 2">
          <a:extLst>
            <a:ext uri="{FF2B5EF4-FFF2-40B4-BE49-F238E27FC236}">
              <a16:creationId xmlns:a16="http://schemas.microsoft.com/office/drawing/2014/main" id="{D09B419E-F36C-459F-B8E7-CFFAC7B074A8}"/>
            </a:ext>
          </a:extLst>
        </xdr:cNvPr>
        <xdr:cNvSpPr/>
      </xdr:nvSpPr>
      <xdr:spPr>
        <a:xfrm rot="10800000">
          <a:off x="5200650" y="2171700"/>
          <a:ext cx="685800" cy="314325"/>
        </a:xfrm>
        <a:prstGeom prst="rightArrow">
          <a:avLst/>
        </a:prstGeom>
        <a:solidFill>
          <a:schemeClr val="bg1">
            <a:lumMod val="85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579120</xdr:colOff>
      <xdr:row>8</xdr:row>
      <xdr:rowOff>22860</xdr:rowOff>
    </xdr:from>
    <xdr:to>
      <xdr:col>7</xdr:col>
      <xdr:colOff>586740</xdr:colOff>
      <xdr:row>13</xdr:row>
      <xdr:rowOff>7620</xdr:rowOff>
    </xdr:to>
    <xdr:sp macro="" textlink="">
      <xdr:nvSpPr>
        <xdr:cNvPr id="5" name="TextBox 4">
          <a:extLst>
            <a:ext uri="{FF2B5EF4-FFF2-40B4-BE49-F238E27FC236}">
              <a16:creationId xmlns:a16="http://schemas.microsoft.com/office/drawing/2014/main" id="{D9B1C086-3941-4936-AD66-53943869E9FB}"/>
            </a:ext>
          </a:extLst>
        </xdr:cNvPr>
        <xdr:cNvSpPr txBox="1"/>
      </xdr:nvSpPr>
      <xdr:spPr>
        <a:xfrm rot="-2040000">
          <a:off x="822960" y="1844040"/>
          <a:ext cx="5311140" cy="11125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3200" b="1">
              <a:solidFill>
                <a:srgbClr val="00B050"/>
              </a:solidFill>
            </a:rPr>
            <a:t>Trial</a:t>
          </a:r>
          <a:r>
            <a:rPr lang="en-AU" sz="3200" b="1" baseline="0">
              <a:solidFill>
                <a:srgbClr val="00B050"/>
              </a:solidFill>
            </a:rPr>
            <a:t> version</a:t>
          </a:r>
        </a:p>
        <a:p>
          <a:pPr algn="ctr"/>
          <a:r>
            <a:rPr lang="en-AU" sz="3200" b="1" baseline="0">
              <a:solidFill>
                <a:srgbClr val="00B050"/>
              </a:solidFill>
            </a:rPr>
            <a:t>www.foodfraudadvisors.com</a:t>
          </a:r>
          <a:endParaRPr lang="en-AU" sz="3200" b="1">
            <a:solidFill>
              <a:srgbClr val="00B050"/>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foodfraudadvisors.com/investigating-food-fraud/" TargetMode="External"/><Relationship Id="rId1" Type="http://schemas.openxmlformats.org/officeDocument/2006/relationships/hyperlink" Target="http://foodfraudadvisors.com/investigating-food-fraud/" TargetMode="External"/><Relationship Id="rId6" Type="http://schemas.openxmlformats.org/officeDocument/2006/relationships/image" Target="../media/image13.jpeg"/><Relationship Id="rId5" Type="http://schemas.openxmlformats.org/officeDocument/2006/relationships/vmlDrawing" Target="../drawings/vmlDrawing3.vm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mailto:support@foodfraudadvisors.com"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mailto:support@foodfraudadvisors.com" TargetMode="External"/></Relationships>
</file>

<file path=xl/worksheets/_rels/sheet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foodfraudadvisors.com/investigating-food-fraud/" TargetMode="External"/><Relationship Id="rId1" Type="http://schemas.openxmlformats.org/officeDocument/2006/relationships/hyperlink" Target="http://foodfraudadvisors.com/investigating-food-fraud/" TargetMode="External"/><Relationship Id="rId6" Type="http://schemas.openxmlformats.org/officeDocument/2006/relationships/image" Target="../media/image3.jpeg"/><Relationship Id="rId5" Type="http://schemas.openxmlformats.org/officeDocument/2006/relationships/vmlDrawing" Target="../drawings/vmlDrawing1.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image" Target="../media/image6.jpeg"/></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hyperlink" Target="http://foodfraudadvisors.com/support-and-feedback/" TargetMode="External"/><Relationship Id="rId7" Type="http://schemas.openxmlformats.org/officeDocument/2006/relationships/printerSettings" Target="../printerSettings/printerSettings7.bin"/><Relationship Id="rId2" Type="http://schemas.openxmlformats.org/officeDocument/2006/relationships/hyperlink" Target="http://foodfraudadvisors.com/what-next/" TargetMode="External"/><Relationship Id="rId1" Type="http://schemas.openxmlformats.org/officeDocument/2006/relationships/hyperlink" Target="http://foodfraudadvisors.com/vulnerability-assessment-faq5/" TargetMode="External"/><Relationship Id="rId6" Type="http://schemas.openxmlformats.org/officeDocument/2006/relationships/hyperlink" Target="http://www.sciencedirect.com/science/article/pii/S0956713516301219" TargetMode="External"/><Relationship Id="rId5" Type="http://schemas.openxmlformats.org/officeDocument/2006/relationships/hyperlink" Target="http://www.sciencedirect.com/science/article/pii/S0956713516301219" TargetMode="External"/><Relationship Id="rId4" Type="http://schemas.openxmlformats.org/officeDocument/2006/relationships/hyperlink" Target="http://foodfraudadvisors.com/vulnerability-assessment-faq5/" TargetMode="External"/></Relationships>
</file>

<file path=xl/worksheets/_rels/sheet8.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2:Q1004"/>
  <sheetViews>
    <sheetView showGridLines="0" tabSelected="1" showRuler="0" zoomScale="99" zoomScaleNormal="99" workbookViewId="0"/>
  </sheetViews>
  <sheetFormatPr defaultColWidth="17.33203125" defaultRowHeight="15" customHeight="1"/>
  <cols>
    <col min="1" max="1" width="7.109375" customWidth="1"/>
    <col min="2" max="2" width="5" customWidth="1"/>
    <col min="3" max="12" width="8.6640625" customWidth="1"/>
  </cols>
  <sheetData>
    <row r="2" spans="2:17" ht="45.75" customHeight="1">
      <c r="B2" s="236"/>
      <c r="C2" s="237"/>
      <c r="D2" s="237"/>
      <c r="E2" s="237"/>
      <c r="F2" s="237"/>
      <c r="G2" s="237"/>
      <c r="H2" s="237"/>
      <c r="I2" s="237"/>
      <c r="J2" s="237"/>
      <c r="K2" s="237"/>
      <c r="L2" s="237"/>
      <c r="M2" s="237"/>
      <c r="N2" s="237"/>
      <c r="O2" s="237"/>
      <c r="P2" s="237"/>
      <c r="Q2" s="237"/>
    </row>
    <row r="3" spans="2:17" ht="18.600000000000001" customHeight="1">
      <c r="B3" s="238"/>
      <c r="C3" s="237"/>
      <c r="D3" s="237"/>
      <c r="E3" s="237"/>
      <c r="F3" s="237"/>
      <c r="G3" s="237"/>
      <c r="H3" s="237"/>
      <c r="I3" s="237"/>
      <c r="J3" s="237"/>
      <c r="K3" s="237"/>
      <c r="L3" s="237"/>
      <c r="M3" s="237"/>
      <c r="N3" s="237"/>
      <c r="O3" s="237"/>
      <c r="P3" s="237"/>
      <c r="Q3" s="237"/>
    </row>
    <row r="4" spans="2:17" ht="12.75" customHeight="1">
      <c r="B4" s="223"/>
    </row>
    <row r="5" spans="2:17" ht="12.75" customHeight="1">
      <c r="B5" s="223"/>
      <c r="L5" s="455"/>
      <c r="M5" s="237"/>
      <c r="N5" s="237"/>
      <c r="O5" s="237"/>
      <c r="P5" s="237"/>
      <c r="Q5" s="237"/>
    </row>
    <row r="6" spans="2:17" ht="12.75" customHeight="1">
      <c r="L6" s="487"/>
      <c r="M6" s="487"/>
      <c r="N6" s="487"/>
      <c r="O6" s="487"/>
      <c r="P6" s="487"/>
      <c r="Q6" s="487"/>
    </row>
    <row r="7" spans="2:17" ht="12.75" customHeight="1">
      <c r="L7" s="224"/>
      <c r="M7" s="224"/>
      <c r="N7" s="224"/>
      <c r="O7" s="224"/>
      <c r="P7" s="224"/>
      <c r="Q7" s="224"/>
    </row>
    <row r="8" spans="2:17" ht="12.75" customHeight="1">
      <c r="L8" s="224"/>
      <c r="M8" s="224"/>
      <c r="N8" s="224"/>
      <c r="O8" s="224"/>
      <c r="P8" s="224"/>
      <c r="Q8" s="224"/>
    </row>
    <row r="9" spans="2:17" ht="12.75" customHeight="1"/>
    <row r="10" spans="2:17" ht="12.75" customHeight="1"/>
    <row r="11" spans="2:17" ht="12.75" customHeight="1"/>
    <row r="12" spans="2:17" ht="12.75" customHeight="1"/>
    <row r="13" spans="2:17" ht="12.75" customHeight="1"/>
    <row r="14" spans="2:17" ht="12.75" customHeight="1"/>
    <row r="15" spans="2:17" ht="12.75" customHeight="1"/>
    <row r="16" spans="2:17" ht="12.75" customHeight="1"/>
    <row r="17" ht="12.75" customHeight="1"/>
    <row r="18" ht="12.75" customHeight="1"/>
    <row r="19" ht="12.75" customHeight="1"/>
    <row r="20" ht="12.75" customHeight="1"/>
    <row r="21" ht="126" customHeight="1"/>
    <row r="22" ht="45.6" customHeight="1"/>
    <row r="23" ht="25.5" customHeight="1"/>
    <row r="24" ht="12.75" customHeight="1"/>
    <row r="25" ht="12.75" customHeight="1"/>
    <row r="26" ht="12.75" customHeight="1"/>
    <row r="27" ht="12.75" customHeight="1"/>
    <row r="28" ht="12.75" customHeight="1"/>
    <row r="29" ht="12.75" customHeight="1"/>
    <row r="30" ht="58.5" customHeight="1"/>
    <row r="31" ht="31.95" customHeight="1"/>
    <row r="32" ht="45" customHeight="1"/>
    <row r="33" spans="2:17" ht="21" customHeight="1"/>
    <row r="34" spans="2:17" ht="12.75" customHeight="1"/>
    <row r="35" spans="2:17" ht="12.75" customHeight="1"/>
    <row r="36" spans="2:17" ht="12.75" customHeight="1"/>
    <row r="37" spans="2:17" ht="12.75" customHeight="1"/>
    <row r="38" spans="2:17" ht="12.75" customHeight="1"/>
    <row r="39" spans="2:17" ht="12.75" customHeight="1"/>
    <row r="40" spans="2:17" ht="12.75" customHeight="1"/>
    <row r="41" spans="2:17" ht="12.75" customHeight="1"/>
    <row r="42" spans="2:17" ht="12.75" customHeight="1"/>
    <row r="43" spans="2:17" s="56" customFormat="1" ht="19.5" customHeight="1">
      <c r="B43" s="456"/>
      <c r="C43" s="457"/>
      <c r="D43" s="457"/>
      <c r="E43" s="457"/>
      <c r="F43" s="457"/>
      <c r="G43" s="457"/>
      <c r="H43" s="457"/>
      <c r="I43" s="457"/>
      <c r="J43" s="457"/>
      <c r="L43" s="483"/>
      <c r="M43" s="483"/>
      <c r="N43" s="483"/>
      <c r="O43" s="483"/>
      <c r="P43" s="483"/>
      <c r="Q43" s="483"/>
    </row>
    <row r="44" spans="2:17" ht="17.25" customHeight="1">
      <c r="B44" s="485"/>
      <c r="C44" s="486"/>
      <c r="D44" s="486"/>
      <c r="E44" s="486"/>
      <c r="F44" s="486"/>
      <c r="G44" s="486"/>
      <c r="H44" s="486"/>
      <c r="I44" s="486"/>
      <c r="J44" s="486"/>
      <c r="L44" s="484"/>
      <c r="M44" s="484"/>
      <c r="N44" s="484"/>
      <c r="O44" s="484"/>
      <c r="P44" s="484"/>
      <c r="Q44" s="484"/>
    </row>
    <row r="45" spans="2:17" ht="12.75" customHeight="1"/>
    <row r="46" spans="2:17" ht="12.75" customHeight="1"/>
    <row r="47" spans="2:17" ht="12.75" customHeight="1"/>
    <row r="48" spans="2:17" ht="12.75" customHeight="1"/>
    <row r="49" spans="2:17" ht="12.75" customHeight="1"/>
    <row r="50" spans="2:17" ht="12.75" customHeight="1"/>
    <row r="51" spans="2:17" ht="12.75" customHeight="1"/>
    <row r="52" spans="2:17" ht="19.2" customHeight="1">
      <c r="B52" s="226"/>
      <c r="C52" s="227"/>
      <c r="D52" s="227"/>
      <c r="E52" s="228"/>
      <c r="F52" s="227"/>
      <c r="G52" s="227"/>
      <c r="H52" s="227"/>
      <c r="I52" s="227"/>
      <c r="J52" s="227"/>
      <c r="K52" s="227"/>
      <c r="L52" s="227"/>
      <c r="M52" s="227"/>
      <c r="N52" s="227"/>
      <c r="O52" s="227"/>
      <c r="P52" s="227"/>
      <c r="Q52" s="227"/>
    </row>
    <row r="53" spans="2:17" ht="12.75" customHeight="1"/>
    <row r="54" spans="2:17" ht="22.8" customHeight="1">
      <c r="B54" s="485"/>
      <c r="C54" s="485"/>
      <c r="D54" s="485"/>
      <c r="E54" s="485"/>
      <c r="F54" s="485"/>
      <c r="G54" s="485"/>
      <c r="J54" s="225"/>
    </row>
    <row r="55" spans="2:17" ht="12.75" customHeight="1"/>
    <row r="56" spans="2:17" ht="12.75" customHeight="1">
      <c r="B56" s="229"/>
    </row>
    <row r="57" spans="2:17" ht="12.75" customHeight="1"/>
    <row r="58" spans="2:17" ht="12.75" customHeight="1"/>
    <row r="59" spans="2:17" ht="12.75" customHeight="1"/>
    <row r="60" spans="2:17" ht="12.75" customHeight="1"/>
    <row r="61" spans="2:17" ht="12.75" customHeight="1"/>
    <row r="62" spans="2:17" ht="13.2"/>
    <row r="63" spans="2:17" ht="13.2"/>
    <row r="64" spans="2:17" ht="13.2"/>
    <row r="65" ht="13.2"/>
    <row r="66" ht="13.2"/>
    <row r="67" ht="13.2"/>
    <row r="68" ht="13.2"/>
    <row r="69" ht="13.2"/>
    <row r="70" ht="13.2"/>
    <row r="71" ht="13.2"/>
    <row r="72" ht="13.2"/>
    <row r="73" ht="13.2"/>
    <row r="74" ht="13.2"/>
    <row r="75" ht="13.2"/>
    <row r="76" ht="13.2"/>
    <row r="77" ht="13.2"/>
    <row r="78" ht="13.2"/>
    <row r="79" ht="13.2"/>
    <row r="80" ht="13.2"/>
    <row r="81" ht="13.2"/>
    <row r="82" ht="13.2"/>
    <row r="83" ht="13.2"/>
    <row r="84" ht="13.2"/>
    <row r="85" ht="13.2"/>
    <row r="86" ht="13.2"/>
    <row r="87" ht="13.2"/>
    <row r="88" ht="13.2"/>
    <row r="89" ht="13.2"/>
    <row r="90" ht="13.2"/>
    <row r="91" ht="13.2"/>
    <row r="92" ht="13.2"/>
    <row r="93" ht="13.2"/>
    <row r="94" ht="13.2"/>
    <row r="95" ht="13.2"/>
    <row r="96" ht="13.2"/>
    <row r="97" ht="13.2"/>
    <row r="98" ht="13.2"/>
    <row r="99" ht="13.2"/>
    <row r="100" ht="13.2"/>
    <row r="101" ht="13.2"/>
    <row r="102" ht="13.2"/>
    <row r="103" ht="13.2"/>
    <row r="104" ht="13.2"/>
    <row r="105" ht="13.2"/>
    <row r="106" ht="13.2"/>
    <row r="107" ht="13.2"/>
    <row r="108" ht="13.2"/>
    <row r="109" ht="13.2"/>
    <row r="110" ht="13.2"/>
    <row r="111" ht="13.2"/>
    <row r="112" ht="13.2"/>
    <row r="113" ht="13.2"/>
    <row r="114" ht="13.2"/>
    <row r="115" ht="13.2"/>
    <row r="116" ht="13.2"/>
    <row r="117" ht="13.2"/>
    <row r="118" ht="13.2"/>
    <row r="119" ht="13.2"/>
    <row r="120" ht="13.2"/>
    <row r="121" ht="13.2"/>
    <row r="122" ht="13.2"/>
    <row r="123" ht="13.2"/>
    <row r="124" ht="13.2"/>
    <row r="125" ht="13.2"/>
    <row r="126" ht="13.2"/>
    <row r="127" ht="13.2"/>
    <row r="128" ht="13.2"/>
    <row r="129" ht="13.2"/>
    <row r="130" ht="13.2"/>
    <row r="131" ht="13.2"/>
    <row r="132" ht="13.2"/>
    <row r="133" ht="13.2"/>
    <row r="134" ht="13.2"/>
    <row r="135" ht="13.2"/>
    <row r="136" ht="13.2"/>
    <row r="137" ht="13.2"/>
    <row r="138" ht="13.2"/>
    <row r="139" ht="13.2"/>
    <row r="140" ht="13.2"/>
    <row r="141" ht="13.2"/>
    <row r="142" ht="13.2"/>
    <row r="143" ht="13.2"/>
    <row r="144" ht="13.2"/>
    <row r="145" ht="13.2"/>
    <row r="146" ht="13.2"/>
    <row r="147" ht="13.2"/>
    <row r="148" ht="13.2"/>
    <row r="149" ht="13.2"/>
    <row r="150" ht="13.2"/>
    <row r="151" ht="13.2"/>
    <row r="152" ht="13.2"/>
    <row r="153" ht="13.2"/>
    <row r="154" ht="13.2"/>
    <row r="155" ht="13.2"/>
    <row r="156" ht="13.2"/>
    <row r="157" ht="13.2"/>
    <row r="158" ht="13.2"/>
    <row r="159" ht="13.2"/>
    <row r="160" ht="13.2"/>
    <row r="161" ht="13.2"/>
    <row r="162" ht="13.2"/>
    <row r="163" ht="13.2"/>
    <row r="164" ht="13.2"/>
    <row r="165" ht="13.2"/>
    <row r="166" ht="13.2"/>
    <row r="167" ht="13.2"/>
    <row r="168" ht="13.2"/>
    <row r="169" ht="13.2"/>
    <row r="170" ht="13.2"/>
    <row r="171" ht="13.2"/>
    <row r="172" ht="13.2"/>
    <row r="173" ht="13.2"/>
    <row r="174" ht="13.2"/>
    <row r="175" ht="13.2"/>
    <row r="176" ht="13.2"/>
    <row r="177" ht="13.2"/>
    <row r="178" ht="13.2"/>
    <row r="179" ht="13.2"/>
    <row r="180" ht="13.2"/>
    <row r="181" ht="13.2"/>
    <row r="182" ht="13.2"/>
    <row r="183" ht="13.2"/>
    <row r="184" ht="13.2"/>
    <row r="185" ht="13.2"/>
    <row r="186" ht="13.2"/>
    <row r="187" ht="13.2"/>
    <row r="188" ht="13.2"/>
    <row r="189" ht="13.2"/>
    <row r="190" ht="13.2"/>
    <row r="191" ht="13.2"/>
    <row r="192" ht="13.2"/>
    <row r="193" ht="13.2"/>
    <row r="194" ht="13.2"/>
    <row r="195" ht="13.2"/>
    <row r="196" ht="13.2"/>
    <row r="197" ht="13.2"/>
    <row r="198" ht="13.2"/>
    <row r="199" ht="13.2"/>
    <row r="200" ht="13.2"/>
    <row r="201" ht="13.2"/>
    <row r="202" ht="13.2"/>
    <row r="203" ht="13.2"/>
    <row r="204" ht="13.2"/>
    <row r="205" ht="13.2"/>
    <row r="206" ht="13.2"/>
    <row r="207" ht="13.2"/>
    <row r="208" ht="13.2"/>
    <row r="209" ht="13.2"/>
    <row r="210" ht="13.2"/>
    <row r="211" ht="13.2"/>
    <row r="212" ht="13.2"/>
    <row r="213" ht="13.2"/>
    <row r="214" ht="13.2"/>
    <row r="215" ht="13.2"/>
    <row r="216" ht="13.2"/>
    <row r="217" ht="13.2"/>
    <row r="218" ht="13.2"/>
    <row r="219" ht="13.2"/>
    <row r="220" ht="13.2"/>
    <row r="221" ht="13.2"/>
    <row r="222" ht="13.2"/>
    <row r="223" ht="13.2"/>
    <row r="224" ht="13.2"/>
    <row r="225" ht="13.2"/>
    <row r="226" ht="13.2"/>
    <row r="227" ht="13.2"/>
    <row r="228" ht="13.2"/>
    <row r="229" ht="13.2"/>
    <row r="230" ht="13.2"/>
    <row r="231" ht="13.2"/>
    <row r="232" ht="13.2"/>
    <row r="233" ht="13.2"/>
    <row r="234" ht="13.2"/>
    <row r="235" ht="13.2"/>
    <row r="236" ht="13.2"/>
    <row r="237" ht="13.2"/>
    <row r="238" ht="13.2"/>
    <row r="239" ht="13.2"/>
    <row r="240" ht="13.2"/>
    <row r="241" ht="13.2"/>
    <row r="242" ht="13.2"/>
    <row r="243" ht="13.2"/>
    <row r="244" ht="13.2"/>
    <row r="245" ht="13.2"/>
    <row r="246" ht="13.2"/>
    <row r="247" ht="13.2"/>
    <row r="248" ht="13.2"/>
    <row r="249" ht="13.2"/>
    <row r="250" ht="13.2"/>
    <row r="251" ht="13.2"/>
    <row r="252" ht="13.2"/>
    <row r="253" ht="13.2"/>
    <row r="254" ht="13.2"/>
    <row r="255" ht="13.2"/>
    <row r="256" ht="13.2"/>
    <row r="257" ht="13.2"/>
    <row r="258" ht="13.2"/>
    <row r="259" ht="13.2"/>
    <row r="260" ht="13.2"/>
    <row r="261" ht="13.2"/>
    <row r="262" ht="13.2"/>
    <row r="263" ht="13.2"/>
    <row r="264" ht="13.2"/>
    <row r="265" ht="13.2"/>
    <row r="266" ht="13.2"/>
    <row r="267" ht="13.2"/>
    <row r="268" ht="13.2"/>
    <row r="269" ht="13.2"/>
    <row r="270" ht="13.2"/>
    <row r="271" ht="13.2"/>
    <row r="272" ht="13.2"/>
    <row r="273" ht="13.2"/>
    <row r="274" ht="13.2"/>
    <row r="275" ht="13.2"/>
    <row r="276" ht="13.2"/>
    <row r="277" ht="13.2"/>
    <row r="278" ht="13.2"/>
    <row r="279" ht="13.2"/>
    <row r="280" ht="13.2"/>
    <row r="281" ht="13.2"/>
    <row r="282" ht="13.2"/>
    <row r="283" ht="13.2"/>
    <row r="284" ht="13.2"/>
    <row r="285" ht="13.2"/>
    <row r="286" ht="13.2"/>
    <row r="287" ht="13.2"/>
    <row r="288" ht="13.2"/>
    <row r="289" ht="13.2"/>
    <row r="290" ht="13.2"/>
    <row r="291" ht="13.2"/>
    <row r="292" ht="13.2"/>
    <row r="293" ht="13.2"/>
    <row r="294" ht="13.2"/>
    <row r="295" ht="13.2"/>
    <row r="296" ht="13.2"/>
    <row r="297" ht="13.2"/>
    <row r="298" ht="13.2"/>
    <row r="299" ht="13.2"/>
    <row r="300" ht="13.2"/>
    <row r="301" ht="13.2"/>
    <row r="302" ht="13.2"/>
    <row r="303" ht="13.2"/>
    <row r="304" ht="13.2"/>
    <row r="305" ht="13.2"/>
    <row r="306" ht="13.2"/>
    <row r="307" ht="13.2"/>
    <row r="308" ht="13.2"/>
    <row r="309" ht="13.2"/>
    <row r="310" ht="13.2"/>
    <row r="311" ht="13.2"/>
    <row r="312" ht="13.2"/>
    <row r="313" ht="13.2"/>
    <row r="314" ht="13.2"/>
    <row r="315" ht="13.2"/>
    <row r="316" ht="13.2"/>
    <row r="317" ht="13.2"/>
    <row r="318" ht="13.2"/>
    <row r="319" ht="13.2"/>
    <row r="320" ht="13.2"/>
    <row r="321" ht="13.2"/>
    <row r="322" ht="13.2"/>
    <row r="323" ht="13.2"/>
    <row r="324" ht="13.2"/>
    <row r="325" ht="13.2"/>
    <row r="326" ht="13.2"/>
    <row r="327" ht="13.2"/>
    <row r="328" ht="13.2"/>
    <row r="329" ht="13.2"/>
    <row r="330" ht="13.2"/>
    <row r="331" ht="13.2"/>
    <row r="332" ht="13.2"/>
    <row r="333" ht="13.2"/>
    <row r="334" ht="13.2"/>
    <row r="335" ht="13.2"/>
    <row r="336" ht="13.2"/>
    <row r="337" ht="13.2"/>
    <row r="338" ht="13.2"/>
    <row r="339" ht="13.2"/>
    <row r="340" ht="13.2"/>
    <row r="341" ht="13.2"/>
    <row r="342" ht="13.2"/>
    <row r="343" ht="13.2"/>
    <row r="344" ht="13.2"/>
    <row r="345" ht="13.2"/>
    <row r="346" ht="13.2"/>
    <row r="347" ht="13.2"/>
    <row r="348" ht="13.2"/>
    <row r="349" ht="13.2"/>
    <row r="350" ht="13.2"/>
    <row r="351" ht="13.2"/>
    <row r="352" ht="13.2"/>
    <row r="353" ht="13.2"/>
    <row r="354" ht="13.2"/>
    <row r="355" ht="13.2"/>
    <row r="356" ht="13.2"/>
    <row r="357" ht="13.2"/>
    <row r="358" ht="13.2"/>
    <row r="359" ht="13.2"/>
    <row r="360" ht="13.2"/>
    <row r="361" ht="13.2"/>
    <row r="362" ht="13.2"/>
    <row r="363" ht="13.2"/>
    <row r="364" ht="13.2"/>
    <row r="365" ht="13.2"/>
    <row r="366" ht="13.2"/>
    <row r="367" ht="13.2"/>
    <row r="368" ht="13.2"/>
    <row r="369" ht="13.2"/>
    <row r="370" ht="13.2"/>
    <row r="371" ht="13.2"/>
    <row r="372" ht="13.2"/>
    <row r="373" ht="13.2"/>
    <row r="374" ht="13.2"/>
    <row r="375" ht="13.2"/>
    <row r="376" ht="13.2"/>
    <row r="377" ht="13.2"/>
    <row r="378" ht="13.2"/>
    <row r="379" ht="13.2"/>
    <row r="380" ht="13.2"/>
    <row r="381" ht="13.2"/>
    <row r="382" ht="13.2"/>
    <row r="383" ht="13.2"/>
    <row r="384" ht="13.2"/>
    <row r="385" ht="13.2"/>
    <row r="386" ht="13.2"/>
    <row r="387" ht="13.2"/>
    <row r="388" ht="13.2"/>
    <row r="389" ht="13.2"/>
    <row r="390" ht="13.2"/>
    <row r="391" ht="13.2"/>
    <row r="392" ht="13.2"/>
    <row r="393" ht="13.2"/>
    <row r="394" ht="13.2"/>
    <row r="395" ht="13.2"/>
    <row r="396" ht="13.2"/>
    <row r="397" ht="13.2"/>
    <row r="398" ht="13.2"/>
    <row r="399" ht="13.2"/>
    <row r="400" ht="13.2"/>
    <row r="401" ht="13.2"/>
    <row r="402" ht="13.2"/>
    <row r="403" ht="13.2"/>
    <row r="404" ht="13.2"/>
    <row r="405" ht="13.2"/>
    <row r="406" ht="13.2"/>
    <row r="407" ht="13.2"/>
    <row r="408" ht="13.2"/>
    <row r="409" ht="13.2"/>
    <row r="410" ht="13.2"/>
    <row r="411" ht="13.2"/>
    <row r="412" ht="13.2"/>
    <row r="413" ht="13.2"/>
    <row r="414" ht="13.2"/>
    <row r="415" ht="13.2"/>
    <row r="416" ht="13.2"/>
    <row r="417" ht="13.2"/>
    <row r="418" ht="13.2"/>
    <row r="419" ht="13.2"/>
    <row r="420" ht="13.2"/>
    <row r="421" ht="13.2"/>
    <row r="422" ht="13.2"/>
    <row r="423" ht="13.2"/>
    <row r="424" ht="13.2"/>
    <row r="425" ht="13.2"/>
    <row r="426" ht="13.2"/>
    <row r="427" ht="13.2"/>
    <row r="428" ht="13.2"/>
    <row r="429" ht="13.2"/>
    <row r="430" ht="13.2"/>
    <row r="431" ht="13.2"/>
    <row r="432" ht="13.2"/>
    <row r="433" ht="13.2"/>
    <row r="434" ht="13.2"/>
    <row r="435" ht="13.2"/>
    <row r="436" ht="13.2"/>
    <row r="437" ht="13.2"/>
    <row r="438" ht="13.2"/>
    <row r="439" ht="13.2"/>
    <row r="440" ht="13.2"/>
    <row r="441" ht="13.2"/>
    <row r="442" ht="13.2"/>
    <row r="443" ht="13.2"/>
    <row r="444" ht="13.2"/>
    <row r="445" ht="13.2"/>
    <row r="446" ht="13.2"/>
    <row r="447" ht="13.2"/>
    <row r="448" ht="13.2"/>
    <row r="449" ht="13.2"/>
    <row r="450" ht="13.2"/>
    <row r="451" ht="13.2"/>
    <row r="452" ht="13.2"/>
    <row r="453" ht="13.2"/>
    <row r="454" ht="13.2"/>
    <row r="455" ht="13.2"/>
    <row r="456" ht="13.2"/>
    <row r="457" ht="13.2"/>
    <row r="458" ht="13.2"/>
    <row r="459" ht="13.2"/>
    <row r="460" ht="13.2"/>
    <row r="461" ht="13.2"/>
    <row r="462" ht="13.2"/>
    <row r="463" ht="13.2"/>
    <row r="464" ht="13.2"/>
    <row r="465" ht="13.2"/>
    <row r="466" ht="13.2"/>
    <row r="467" ht="13.2"/>
    <row r="468" ht="13.2"/>
    <row r="469" ht="13.2"/>
    <row r="470" ht="13.2"/>
    <row r="471" ht="13.2"/>
    <row r="472" ht="13.2"/>
    <row r="473" ht="13.2"/>
    <row r="474" ht="13.2"/>
    <row r="475" ht="13.2"/>
    <row r="476" ht="13.2"/>
    <row r="477" ht="13.2"/>
    <row r="478" ht="13.2"/>
    <row r="479" ht="13.2"/>
    <row r="480" ht="13.2"/>
    <row r="481" ht="13.2"/>
    <row r="482" ht="13.2"/>
    <row r="483" ht="13.2"/>
    <row r="484" ht="13.2"/>
    <row r="485" ht="13.2"/>
    <row r="486" ht="13.2"/>
    <row r="487" ht="13.2"/>
    <row r="488" ht="13.2"/>
    <row r="489" ht="13.2"/>
    <row r="490" ht="13.2"/>
    <row r="491" ht="13.2"/>
    <row r="492" ht="13.2"/>
    <row r="493" ht="13.2"/>
    <row r="494" ht="13.2"/>
    <row r="495" ht="13.2"/>
    <row r="496" ht="13.2"/>
    <row r="497" ht="13.2"/>
    <row r="498" ht="13.2"/>
    <row r="499" ht="13.2"/>
    <row r="500" ht="13.2"/>
    <row r="501" ht="13.2"/>
    <row r="502" ht="13.2"/>
    <row r="503" ht="13.2"/>
    <row r="504" ht="13.2"/>
    <row r="505" ht="13.2"/>
    <row r="506" ht="13.2"/>
    <row r="507" ht="13.2"/>
    <row r="508" ht="13.2"/>
    <row r="509" ht="13.2"/>
    <row r="510" ht="13.2"/>
    <row r="511" ht="13.2"/>
    <row r="512" ht="13.2"/>
    <row r="513" ht="13.2"/>
    <row r="514" ht="13.2"/>
    <row r="515" ht="13.2"/>
    <row r="516" ht="13.2"/>
    <row r="517" ht="13.2"/>
    <row r="518" ht="13.2"/>
    <row r="519" ht="13.2"/>
    <row r="520" ht="13.2"/>
    <row r="521" ht="13.2"/>
    <row r="522" ht="13.2"/>
    <row r="523" ht="13.2"/>
    <row r="524" ht="13.2"/>
    <row r="525" ht="13.2"/>
    <row r="526" ht="13.2"/>
    <row r="527" ht="13.2"/>
    <row r="528" ht="13.2"/>
    <row r="529" ht="13.2"/>
    <row r="530" ht="13.2"/>
    <row r="531" ht="13.2"/>
    <row r="532" ht="13.2"/>
    <row r="533" ht="13.2"/>
    <row r="534" ht="13.2"/>
    <row r="535" ht="13.2"/>
    <row r="536" ht="13.2"/>
    <row r="537" ht="13.2"/>
    <row r="538" ht="13.2"/>
    <row r="539" ht="13.2"/>
    <row r="540" ht="13.2"/>
    <row r="541" ht="13.2"/>
    <row r="542" ht="13.2"/>
    <row r="543" ht="13.2"/>
    <row r="544" ht="13.2"/>
    <row r="545" ht="13.2"/>
    <row r="546" ht="13.2"/>
    <row r="547" ht="13.2"/>
    <row r="548" ht="13.2"/>
    <row r="549" ht="13.2"/>
    <row r="550" ht="13.2"/>
    <row r="551" ht="13.2"/>
    <row r="552" ht="13.2"/>
    <row r="553" ht="13.2"/>
    <row r="554" ht="13.2"/>
    <row r="555" ht="13.2"/>
    <row r="556" ht="13.2"/>
    <row r="557" ht="13.2"/>
    <row r="558" ht="13.2"/>
    <row r="559" ht="13.2"/>
    <row r="560" ht="13.2"/>
    <row r="561" ht="13.2"/>
    <row r="562" ht="13.2"/>
    <row r="563" ht="13.2"/>
    <row r="564" ht="13.2"/>
    <row r="565" ht="13.2"/>
    <row r="566" ht="13.2"/>
    <row r="567" ht="13.2"/>
    <row r="568" ht="13.2"/>
    <row r="569" ht="13.2"/>
    <row r="570" ht="13.2"/>
    <row r="571" ht="13.2"/>
    <row r="572" ht="13.2"/>
    <row r="573" ht="13.2"/>
    <row r="574" ht="13.2"/>
    <row r="575" ht="13.2"/>
    <row r="576" ht="13.2"/>
    <row r="577" ht="13.2"/>
    <row r="578" ht="13.2"/>
    <row r="579" ht="13.2"/>
    <row r="580" ht="13.2"/>
    <row r="581" ht="13.2"/>
    <row r="582" ht="13.2"/>
    <row r="583" ht="13.2"/>
    <row r="584" ht="13.2"/>
    <row r="585" ht="13.2"/>
    <row r="586" ht="13.2"/>
    <row r="587" ht="13.2"/>
    <row r="588" ht="13.2"/>
    <row r="589" ht="13.2"/>
    <row r="590" ht="13.2"/>
    <row r="591" ht="13.2"/>
    <row r="592" ht="13.2"/>
    <row r="593" ht="13.2"/>
    <row r="594" ht="13.2"/>
    <row r="595" ht="13.2"/>
    <row r="596" ht="13.2"/>
    <row r="597" ht="13.2"/>
    <row r="598" ht="13.2"/>
    <row r="599" ht="13.2"/>
    <row r="600" ht="13.2"/>
    <row r="601" ht="13.2"/>
    <row r="602" ht="13.2"/>
    <row r="603" ht="13.2"/>
    <row r="604" ht="13.2"/>
    <row r="605" ht="13.2"/>
    <row r="606" ht="13.2"/>
    <row r="607" ht="13.2"/>
    <row r="608" ht="13.2"/>
    <row r="609" ht="13.2"/>
    <row r="610" ht="13.2"/>
    <row r="611" ht="13.2"/>
    <row r="612" ht="13.2"/>
    <row r="613" ht="13.2"/>
    <row r="614" ht="13.2"/>
    <row r="615" ht="13.2"/>
    <row r="616" ht="13.2"/>
    <row r="617" ht="13.2"/>
    <row r="618" ht="13.2"/>
    <row r="619" ht="13.2"/>
    <row r="620" ht="13.2"/>
    <row r="621" ht="13.2"/>
    <row r="622" ht="13.2"/>
    <row r="623" ht="13.2"/>
    <row r="624" ht="13.2"/>
    <row r="625" ht="13.2"/>
    <row r="626" ht="13.2"/>
    <row r="627" ht="13.2"/>
    <row r="628" ht="13.2"/>
    <row r="629" ht="13.2"/>
    <row r="630" ht="13.2"/>
    <row r="631" ht="13.2"/>
    <row r="632" ht="13.2"/>
    <row r="633" ht="13.2"/>
    <row r="634" ht="13.2"/>
    <row r="635" ht="13.2"/>
    <row r="636" ht="13.2"/>
    <row r="637" ht="13.2"/>
    <row r="638" ht="13.2"/>
    <row r="639" ht="13.2"/>
    <row r="640" ht="13.2"/>
    <row r="641" ht="13.2"/>
    <row r="642" ht="13.2"/>
    <row r="643" ht="13.2"/>
    <row r="644" ht="13.2"/>
    <row r="645" ht="13.2"/>
    <row r="646" ht="13.2"/>
    <row r="647" ht="13.2"/>
    <row r="648" ht="13.2"/>
    <row r="649" ht="13.2"/>
    <row r="650" ht="13.2"/>
    <row r="651" ht="13.2"/>
    <row r="652" ht="13.2"/>
    <row r="653" ht="13.2"/>
    <row r="654" ht="13.2"/>
    <row r="655" ht="13.2"/>
    <row r="656" ht="13.2"/>
    <row r="657" ht="13.2"/>
    <row r="658" ht="13.2"/>
    <row r="659" ht="13.2"/>
    <row r="660" ht="13.2"/>
    <row r="661" ht="13.2"/>
    <row r="662" ht="13.2"/>
    <row r="663" ht="13.2"/>
    <row r="664" ht="13.2"/>
    <row r="665" ht="13.2"/>
    <row r="666" ht="13.2"/>
    <row r="667" ht="13.2"/>
    <row r="668" ht="13.2"/>
    <row r="669" ht="13.2"/>
    <row r="670" ht="13.2"/>
    <row r="671" ht="13.2"/>
    <row r="672" ht="13.2"/>
    <row r="673" ht="13.2"/>
    <row r="674" ht="13.2"/>
    <row r="675" ht="13.2"/>
    <row r="676" ht="13.2"/>
    <row r="677" ht="13.2"/>
    <row r="678" ht="13.2"/>
    <row r="679" ht="13.2"/>
    <row r="680" ht="13.2"/>
    <row r="681" ht="13.2"/>
    <row r="682" ht="13.2"/>
    <row r="683" ht="13.2"/>
    <row r="684" ht="13.2"/>
    <row r="685" ht="13.2"/>
    <row r="686" ht="13.2"/>
    <row r="687" ht="13.2"/>
    <row r="688" ht="13.2"/>
    <row r="689" ht="13.2"/>
    <row r="690" ht="13.2"/>
    <row r="691" ht="13.2"/>
    <row r="692" ht="13.2"/>
    <row r="693" ht="13.2"/>
    <row r="694" ht="13.2"/>
    <row r="695" ht="13.2"/>
    <row r="696" ht="13.2"/>
    <row r="697" ht="13.2"/>
    <row r="698" ht="13.2"/>
    <row r="699" ht="13.2"/>
    <row r="700" ht="13.2"/>
    <row r="701" ht="13.2"/>
    <row r="702" ht="13.2"/>
    <row r="703" ht="13.2"/>
    <row r="704" ht="13.2"/>
    <row r="705" ht="13.2"/>
    <row r="706" ht="13.2"/>
    <row r="707" ht="13.2"/>
    <row r="708" ht="13.2"/>
    <row r="709" ht="13.2"/>
    <row r="710" ht="13.2"/>
    <row r="711" ht="13.2"/>
    <row r="712" ht="13.2"/>
    <row r="713" ht="13.2"/>
    <row r="714" ht="13.2"/>
    <row r="715" ht="13.2"/>
    <row r="716" ht="13.2"/>
    <row r="717" ht="13.2"/>
    <row r="718" ht="13.2"/>
    <row r="719" ht="13.2"/>
    <row r="720" ht="13.2"/>
    <row r="721" ht="13.2"/>
    <row r="722" ht="13.2"/>
    <row r="723" ht="13.2"/>
    <row r="724" ht="13.2"/>
    <row r="725" ht="13.2"/>
    <row r="726" ht="13.2"/>
    <row r="727" ht="13.2"/>
    <row r="728" ht="13.2"/>
    <row r="729" ht="13.2"/>
    <row r="730" ht="13.2"/>
    <row r="731" ht="13.2"/>
    <row r="732" ht="13.2"/>
    <row r="733" ht="13.2"/>
    <row r="734" ht="13.2"/>
    <row r="735" ht="13.2"/>
    <row r="736" ht="13.2"/>
    <row r="737" ht="13.2"/>
    <row r="738" ht="13.2"/>
    <row r="739" ht="13.2"/>
    <row r="740" ht="13.2"/>
    <row r="741" ht="13.2"/>
    <row r="742" ht="13.2"/>
    <row r="743" ht="13.2"/>
    <row r="744" ht="13.2"/>
    <row r="745" ht="13.2"/>
    <row r="746" ht="13.2"/>
    <row r="747" ht="13.2"/>
    <row r="748" ht="13.2"/>
    <row r="749" ht="13.2"/>
    <row r="750" ht="13.2"/>
    <row r="751" ht="13.2"/>
    <row r="752" ht="13.2"/>
    <row r="753" ht="13.2"/>
    <row r="754" ht="13.2"/>
    <row r="755" ht="13.2"/>
    <row r="756" ht="13.2"/>
    <row r="757" ht="13.2"/>
    <row r="758" ht="13.2"/>
    <row r="759" ht="13.2"/>
    <row r="760" ht="13.2"/>
    <row r="761" ht="13.2"/>
    <row r="762" ht="13.2"/>
    <row r="763" ht="13.2"/>
    <row r="764" ht="13.2"/>
    <row r="765" ht="13.2"/>
    <row r="766" ht="13.2"/>
    <row r="767" ht="13.2"/>
    <row r="768" ht="13.2"/>
    <row r="769" ht="13.2"/>
    <row r="770" ht="13.2"/>
    <row r="771" ht="13.2"/>
    <row r="772" ht="13.2"/>
    <row r="773" ht="13.2"/>
    <row r="774" ht="13.2"/>
    <row r="775" ht="13.2"/>
    <row r="776" ht="13.2"/>
    <row r="777" ht="13.2"/>
    <row r="778" ht="13.2"/>
    <row r="779" ht="13.2"/>
    <row r="780" ht="13.2"/>
    <row r="781" ht="13.2"/>
    <row r="782" ht="13.2"/>
    <row r="783" ht="13.2"/>
    <row r="784" ht="13.2"/>
    <row r="785" ht="13.2"/>
    <row r="786" ht="13.2"/>
    <row r="787" ht="13.2"/>
    <row r="788" ht="13.2"/>
    <row r="789" ht="13.2"/>
    <row r="790" ht="13.2"/>
    <row r="791" ht="13.2"/>
    <row r="792" ht="13.2"/>
    <row r="793" ht="13.2"/>
    <row r="794" ht="13.2"/>
    <row r="795" ht="13.2"/>
    <row r="796" ht="13.2"/>
    <row r="797" ht="13.2"/>
    <row r="798" ht="13.2"/>
    <row r="799" ht="13.2"/>
    <row r="800" ht="13.2"/>
    <row r="801" ht="13.2"/>
    <row r="802" ht="13.2"/>
    <row r="803" ht="13.2"/>
    <row r="804" ht="13.2"/>
    <row r="805" ht="13.2"/>
    <row r="806" ht="13.2"/>
    <row r="807" ht="13.2"/>
    <row r="808" ht="13.2"/>
    <row r="809" ht="13.2"/>
    <row r="810" ht="13.2"/>
    <row r="811" ht="13.2"/>
    <row r="812" ht="13.2"/>
    <row r="813" ht="13.2"/>
    <row r="814" ht="13.2"/>
    <row r="815" ht="13.2"/>
    <row r="816" ht="13.2"/>
    <row r="817" ht="13.2"/>
    <row r="818" ht="13.2"/>
    <row r="819" ht="13.2"/>
    <row r="820" ht="13.2"/>
    <row r="821" ht="13.2"/>
    <row r="822" ht="13.2"/>
    <row r="823" ht="13.2"/>
    <row r="824" ht="13.2"/>
    <row r="825" ht="13.2"/>
    <row r="826" ht="13.2"/>
    <row r="827" ht="13.2"/>
    <row r="828" ht="13.2"/>
    <row r="829" ht="13.2"/>
    <row r="830" ht="13.2"/>
    <row r="831" ht="13.2"/>
    <row r="832" ht="13.2"/>
    <row r="833" ht="13.2"/>
    <row r="834" ht="13.2"/>
    <row r="835" ht="13.2"/>
    <row r="836" ht="13.2"/>
    <row r="837" ht="13.2"/>
    <row r="838" ht="13.2"/>
    <row r="839" ht="13.2"/>
    <row r="840" ht="13.2"/>
    <row r="841" ht="13.2"/>
    <row r="842" ht="13.2"/>
    <row r="843" ht="13.2"/>
    <row r="844" ht="13.2"/>
    <row r="845" ht="13.2"/>
    <row r="846" ht="13.2"/>
    <row r="847" ht="13.2"/>
    <row r="848" ht="13.2"/>
    <row r="849" ht="13.2"/>
    <row r="850" ht="13.2"/>
    <row r="851" ht="13.2"/>
    <row r="852" ht="13.2"/>
    <row r="853" ht="13.2"/>
    <row r="854" ht="13.2"/>
    <row r="855" ht="13.2"/>
    <row r="856" ht="13.2"/>
    <row r="857" ht="13.2"/>
    <row r="858" ht="13.2"/>
    <row r="859" ht="13.2"/>
    <row r="860" ht="13.2"/>
    <row r="861" ht="13.2"/>
    <row r="862" ht="13.2"/>
    <row r="863" ht="13.2"/>
    <row r="864" ht="13.2"/>
    <row r="865" ht="13.2"/>
    <row r="866" ht="13.2"/>
    <row r="867" ht="13.2"/>
    <row r="868" ht="13.2"/>
    <row r="869" ht="13.2"/>
    <row r="870" ht="13.2"/>
    <row r="871" ht="13.2"/>
    <row r="872" ht="13.2"/>
    <row r="873" ht="13.2"/>
    <row r="874" ht="13.2"/>
    <row r="875" ht="13.2"/>
    <row r="876" ht="13.2"/>
    <row r="877" ht="13.2"/>
    <row r="878" ht="13.2"/>
    <row r="879" ht="13.2"/>
    <row r="880" ht="13.2"/>
    <row r="881" ht="13.2"/>
    <row r="882" ht="13.2"/>
    <row r="883" ht="13.2"/>
    <row r="884" ht="13.2"/>
    <row r="885" ht="13.2"/>
    <row r="886" ht="13.2"/>
    <row r="887" ht="13.2"/>
    <row r="888" ht="13.2"/>
    <row r="889" ht="13.2"/>
    <row r="890" ht="13.2"/>
    <row r="891" ht="13.2"/>
    <row r="892" ht="13.2"/>
    <row r="893" ht="13.2"/>
    <row r="894" ht="13.2"/>
    <row r="895" ht="13.2"/>
    <row r="896" ht="13.2"/>
    <row r="897" ht="13.2"/>
    <row r="898" ht="13.2"/>
    <row r="899" ht="13.2"/>
    <row r="900" ht="13.2"/>
    <row r="901" ht="13.2"/>
    <row r="902" ht="13.2"/>
    <row r="903" ht="13.2"/>
    <row r="904" ht="13.2"/>
    <row r="905" ht="13.2"/>
    <row r="906" ht="13.2"/>
    <row r="907" ht="13.2"/>
    <row r="908" ht="13.2"/>
    <row r="909" ht="13.2"/>
    <row r="910" ht="13.2"/>
    <row r="911" ht="13.2"/>
    <row r="912" ht="13.2"/>
    <row r="913" ht="13.2"/>
    <row r="914" ht="13.2"/>
    <row r="915" ht="13.2"/>
    <row r="916" ht="13.2"/>
    <row r="917" ht="13.2"/>
    <row r="918" ht="13.2"/>
    <row r="919" ht="13.2"/>
    <row r="920" ht="13.2"/>
    <row r="921" ht="13.2"/>
    <row r="922" ht="13.2"/>
    <row r="923" ht="13.2"/>
    <row r="924" ht="13.2"/>
    <row r="925" ht="13.2"/>
    <row r="926" ht="13.2"/>
    <row r="927" ht="13.2"/>
    <row r="928" ht="13.2"/>
    <row r="929" ht="13.2"/>
    <row r="930" ht="13.2"/>
    <row r="931" ht="13.2"/>
    <row r="932" ht="13.2"/>
    <row r="933" ht="13.2"/>
    <row r="934" ht="13.2"/>
    <row r="935" ht="13.2"/>
    <row r="936" ht="13.2"/>
    <row r="937" ht="13.2"/>
    <row r="938" ht="13.2"/>
    <row r="939" ht="13.2"/>
    <row r="940" ht="13.2"/>
    <row r="941" ht="13.2"/>
    <row r="942" ht="13.2"/>
    <row r="943" ht="13.2"/>
    <row r="944" ht="13.2"/>
    <row r="945" ht="13.2"/>
    <row r="946" ht="13.2"/>
    <row r="947" ht="13.2"/>
    <row r="948" ht="13.2"/>
    <row r="949" ht="13.2"/>
    <row r="950" ht="13.2"/>
    <row r="951" ht="13.2"/>
    <row r="952" ht="13.2"/>
    <row r="953" ht="13.2"/>
    <row r="954" ht="13.2"/>
    <row r="955" ht="13.2"/>
    <row r="956" ht="13.2"/>
    <row r="957" ht="13.2"/>
    <row r="958" ht="13.2"/>
    <row r="959" ht="13.2"/>
    <row r="960" ht="13.2"/>
    <row r="961" ht="13.2"/>
    <row r="962" ht="13.2"/>
    <row r="963" ht="13.2"/>
    <row r="964" ht="13.2"/>
    <row r="965" ht="13.2"/>
    <row r="966" ht="13.2"/>
    <row r="967" ht="13.2"/>
    <row r="968" ht="13.2"/>
    <row r="969" ht="13.2"/>
    <row r="970" ht="13.2"/>
    <row r="971" ht="13.2"/>
    <row r="972" ht="13.2"/>
    <row r="973" ht="13.2"/>
    <row r="974" ht="13.2"/>
    <row r="975" ht="13.2"/>
    <row r="976" ht="13.2"/>
    <row r="977" ht="13.2"/>
    <row r="978" ht="13.2"/>
    <row r="979" ht="13.2"/>
    <row r="980" ht="13.2"/>
    <row r="981" ht="13.2"/>
    <row r="982" ht="13.2"/>
    <row r="983" ht="13.2"/>
    <row r="984" ht="13.2"/>
    <row r="985" ht="13.2"/>
    <row r="986" ht="13.2"/>
    <row r="987" ht="13.2"/>
    <row r="988" ht="13.2"/>
    <row r="989" ht="13.2"/>
    <row r="990" ht="13.2"/>
    <row r="991" ht="13.2"/>
    <row r="992" ht="13.2"/>
    <row r="993" ht="13.2"/>
    <row r="994" ht="13.2"/>
    <row r="995" ht="13.2"/>
    <row r="996" ht="13.2"/>
    <row r="997" ht="13.2"/>
    <row r="998" ht="13.2"/>
    <row r="999" ht="13.2"/>
    <row r="1000" ht="13.2"/>
    <row r="1001" ht="13.2"/>
    <row r="1002" ht="13.2"/>
    <row r="1003" ht="13.2"/>
    <row r="1004" ht="13.2"/>
  </sheetData>
  <sheetProtection algorithmName="SHA-512" hashValue="EFHjhkCTMDzrIpUYcBNme1ctS9Ed6+GvNeHxoYgllv0mPVW3EEP8f9teSBZ3jBgBdQpmOUsUZqZxWKSlVFy9/w==" saltValue="3eec4rFqGYnk7/GHUga+xg==" spinCount="100000" sheet="1" objects="1" scenarios="1"/>
  <mergeCells count="5">
    <mergeCell ref="L43:Q43"/>
    <mergeCell ref="L44:Q44"/>
    <mergeCell ref="B44:J44"/>
    <mergeCell ref="B54:G54"/>
    <mergeCell ref="L6:Q6"/>
  </mergeCells>
  <pageMargins left="0.25" right="0.25" top="0.75" bottom="0.75" header="0.3" footer="0.3"/>
  <pageSetup scale="48"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dimension ref="A2:U26"/>
  <sheetViews>
    <sheetView showGridLines="0" showRowColHeaders="0" zoomScale="98" zoomScaleNormal="98" workbookViewId="0">
      <pane ySplit="8" topLeftCell="A9" activePane="bottomLeft" state="frozen"/>
      <selection pane="bottomLeft" activeCell="F10" sqref="F10"/>
    </sheetView>
  </sheetViews>
  <sheetFormatPr defaultColWidth="9.109375" defaultRowHeight="13.2"/>
  <cols>
    <col min="1" max="1" width="9.109375" style="41"/>
    <col min="2" max="2" width="4" style="142" customWidth="1"/>
    <col min="3" max="3" width="17" style="79" customWidth="1"/>
    <col min="4" max="4" width="17.88671875" style="79" customWidth="1"/>
    <col min="5" max="5" width="9.109375" style="79"/>
    <col min="6" max="6" width="16.88671875" style="128" customWidth="1"/>
    <col min="7" max="7" width="11.109375" style="158" hidden="1" customWidth="1"/>
    <col min="8" max="8" width="36.6640625" style="4" hidden="1" customWidth="1"/>
    <col min="9" max="9" width="30.5546875" style="79" customWidth="1"/>
    <col min="10" max="10" width="101.5546875" style="79" customWidth="1"/>
    <col min="11" max="16384" width="9.109375" style="1"/>
  </cols>
  <sheetData>
    <row r="2" spans="2:21" ht="15.6">
      <c r="B2" s="239" t="s">
        <v>239</v>
      </c>
      <c r="C2" s="240"/>
      <c r="D2" s="240"/>
      <c r="E2" s="241"/>
      <c r="F2" s="242"/>
      <c r="G2" s="243"/>
      <c r="H2" s="240"/>
      <c r="I2" s="240"/>
      <c r="J2" s="244"/>
      <c r="M2" s="79"/>
      <c r="P2" s="79"/>
      <c r="R2" s="79"/>
      <c r="U2" s="79"/>
    </row>
    <row r="3" spans="2:21" ht="25.5" customHeight="1">
      <c r="B3" s="245" t="str">
        <f>IF('Scope worksheet'!D6="Insert name of material or material group here","Insert material name on Scope Worksheet",'Scope worksheet'!D6)</f>
        <v>Insert material name on Scope Worksheet</v>
      </c>
      <c r="C3" s="246"/>
      <c r="D3" s="246"/>
      <c r="E3" s="247"/>
      <c r="F3" s="248"/>
      <c r="G3" s="249"/>
      <c r="H3" s="250"/>
      <c r="I3" s="250"/>
      <c r="J3" s="251"/>
      <c r="K3" s="520"/>
      <c r="L3" s="520"/>
      <c r="M3" s="520"/>
      <c r="N3" s="521"/>
      <c r="O3" s="520"/>
      <c r="P3" s="521"/>
      <c r="T3" s="64"/>
    </row>
    <row r="4" spans="2:21" ht="21.75" customHeight="1">
      <c r="B4" s="417" t="s">
        <v>292</v>
      </c>
      <c r="C4" s="418"/>
      <c r="D4" s="252"/>
      <c r="E4" s="252"/>
      <c r="F4" s="252"/>
      <c r="G4" s="252"/>
      <c r="H4" s="252"/>
      <c r="I4" s="252"/>
      <c r="J4" s="253"/>
      <c r="T4" s="64"/>
    </row>
    <row r="5" spans="2:21" ht="3.75" customHeight="1">
      <c r="C5" s="65"/>
      <c r="D5" s="66"/>
      <c r="E5" s="66"/>
      <c r="I5" s="66"/>
      <c r="J5" s="66"/>
      <c r="K5" s="13"/>
      <c r="L5" s="13"/>
      <c r="T5" s="64"/>
    </row>
    <row r="6" spans="2:21" ht="3.75" customHeight="1">
      <c r="C6" s="66"/>
      <c r="D6" s="66"/>
      <c r="E6" s="66"/>
      <c r="I6" s="66"/>
      <c r="J6" s="66"/>
      <c r="K6" s="13"/>
      <c r="L6" s="13"/>
      <c r="N6" s="13"/>
      <c r="T6" s="64"/>
    </row>
    <row r="7" spans="2:21" ht="3.75" customHeight="1">
      <c r="C7" s="66"/>
      <c r="D7" s="65"/>
      <c r="N7" s="13"/>
      <c r="T7" s="64"/>
    </row>
    <row r="8" spans="2:21" ht="3.75" customHeight="1">
      <c r="C8" s="66"/>
      <c r="D8" s="69"/>
      <c r="N8" s="13"/>
      <c r="T8" s="64"/>
    </row>
    <row r="9" spans="2:21" s="72" customFormat="1" ht="31.5" customHeight="1">
      <c r="B9" s="616" t="s">
        <v>45</v>
      </c>
      <c r="C9" s="617"/>
      <c r="D9" s="254" t="s">
        <v>46</v>
      </c>
      <c r="E9" s="254" t="s">
        <v>47</v>
      </c>
      <c r="F9" s="255" t="s">
        <v>82</v>
      </c>
      <c r="G9" s="256"/>
      <c r="H9" s="256"/>
      <c r="I9" s="257" t="s">
        <v>44</v>
      </c>
      <c r="J9" s="257" t="s">
        <v>48</v>
      </c>
      <c r="T9" s="73"/>
    </row>
    <row r="10" spans="2:21" ht="66">
      <c r="B10" s="258" t="s">
        <v>214</v>
      </c>
      <c r="C10" s="258" t="s">
        <v>66</v>
      </c>
      <c r="D10" s="259" t="s">
        <v>185</v>
      </c>
      <c r="E10" s="335" t="s">
        <v>189</v>
      </c>
      <c r="F10" s="305"/>
      <c r="G10" s="159">
        <f>IF(F10="",100,IF(F10="no",0,IF(F10="yes many incidences",5,3)))</f>
        <v>100</v>
      </c>
      <c r="H10" s="134" t="s">
        <v>161</v>
      </c>
      <c r="I10" s="263" t="str">
        <f>IF(ISERROR(G22),"Warning; an error has occurred. Avoid using cut and paste functions. Press 'undo' or revert to last saved copy to correct the error",IF(F10="yes many incidences","This material has been implicated in many previous incidences of food fraud.",IF(F10="a few incidences","This material has been implicated in a few previous incidences of food fraud.",IF(F10="no","This material has not been implicated in previous incidences of food fraud.",""))))</f>
        <v/>
      </c>
      <c r="J10" s="80"/>
      <c r="T10" s="64"/>
    </row>
    <row r="11" spans="2:21" ht="58.2" customHeight="1">
      <c r="B11" s="258" t="s">
        <v>215</v>
      </c>
      <c r="C11" s="258" t="s">
        <v>67</v>
      </c>
      <c r="D11" s="259" t="s">
        <v>186</v>
      </c>
      <c r="E11" s="335" t="s">
        <v>189</v>
      </c>
      <c r="F11" s="306"/>
      <c r="G11" s="160">
        <f>IF(F11="",100,IF(F11="no",0,1))</f>
        <v>100</v>
      </c>
      <c r="H11" s="134" t="s">
        <v>23</v>
      </c>
      <c r="I11" s="263" t="str">
        <f>IF(ISERROR(G22),"Warning; an error has occurred. Avoid using cut and paste functions. Press 'undo' or revert to last saved copy to correct the error",IF(F11="yes","There have been recent alerts and/or news about food fraud for this material.",IF(F11="no","There has been no recent news and no recent alerts about food fraud for this material.","")))</f>
        <v/>
      </c>
      <c r="J11" s="81"/>
      <c r="T11" s="64"/>
    </row>
    <row r="12" spans="2:21" ht="79.2">
      <c r="B12" s="258" t="s">
        <v>216</v>
      </c>
      <c r="C12" s="258" t="s">
        <v>246</v>
      </c>
      <c r="D12" s="261" t="s">
        <v>226</v>
      </c>
      <c r="E12" s="260"/>
      <c r="F12" s="306"/>
      <c r="G12" s="160">
        <f>IF(F12="",100,IF(F12="no",0,1))</f>
        <v>100</v>
      </c>
      <c r="H12" s="134" t="s">
        <v>23</v>
      </c>
      <c r="I12" s="263" t="str">
        <f>IF(ISERROR(G22),"Warning; an error has occurred. Avoid using cut and paste functions. Press 'undo' or revert to last saved copy to correct the error",IF(F12="yes","There are other features of this material that make it susceptible to food fraud.",IF(F12="no","","")))</f>
        <v/>
      </c>
      <c r="J12" s="81"/>
      <c r="T12" s="64"/>
    </row>
    <row r="13" spans="2:21" ht="39.6">
      <c r="B13" s="258" t="s">
        <v>217</v>
      </c>
      <c r="C13" s="262" t="s">
        <v>218</v>
      </c>
      <c r="D13" s="261" t="s">
        <v>61</v>
      </c>
      <c r="E13" s="260"/>
      <c r="F13" s="326" t="str">
        <f>G13</f>
        <v>Relatively likely</v>
      </c>
      <c r="G13" s="159" t="str">
        <f>IF(SUM(G10:G12)=0,"Relatively unlikely","Relatively likely")</f>
        <v>Relatively likely</v>
      </c>
      <c r="H13" s="134"/>
      <c r="I13" s="618" t="str">
        <f>IF(G14="relatively unlikely","This material is relatively unlikely to be affected by food fraud",IF(G14="relatively likely","This material is relatively like to be affected by food fraud",""))</f>
        <v>This material is relatively like to be affected by food fraud</v>
      </c>
      <c r="J13" s="530"/>
      <c r="T13" s="64"/>
    </row>
    <row r="14" spans="2:21" ht="66">
      <c r="B14" s="258" t="s">
        <v>219</v>
      </c>
      <c r="C14" s="258" t="s">
        <v>220</v>
      </c>
      <c r="D14" s="259" t="s">
        <v>236</v>
      </c>
      <c r="E14" s="259"/>
      <c r="F14" s="331"/>
      <c r="G14" s="160" t="str">
        <f>IF(F14="",G13,F14)</f>
        <v>Relatively likely</v>
      </c>
      <c r="H14" s="134"/>
      <c r="I14" s="619"/>
      <c r="J14" s="620"/>
      <c r="T14" s="64"/>
    </row>
    <row r="15" spans="2:21" ht="25.8" customHeight="1">
      <c r="B15" s="65"/>
      <c r="C15" s="65"/>
      <c r="D15" s="201"/>
      <c r="E15" s="202"/>
      <c r="F15" s="327"/>
      <c r="G15" s="203"/>
      <c r="H15" s="128"/>
      <c r="I15" s="204"/>
      <c r="J15" s="66"/>
      <c r="T15" s="64"/>
    </row>
    <row r="16" spans="2:21" ht="35.4" customHeight="1">
      <c r="B16" s="616" t="s">
        <v>237</v>
      </c>
      <c r="C16" s="617"/>
      <c r="D16" s="254" t="s">
        <v>46</v>
      </c>
      <c r="E16" s="254" t="s">
        <v>47</v>
      </c>
      <c r="F16" s="255" t="s">
        <v>82</v>
      </c>
      <c r="G16" s="256"/>
      <c r="H16" s="256"/>
      <c r="I16" s="257" t="s">
        <v>44</v>
      </c>
      <c r="J16" s="257" t="s">
        <v>48</v>
      </c>
      <c r="T16" s="64"/>
    </row>
    <row r="17" spans="2:20" ht="45.6" customHeight="1">
      <c r="B17" s="258" t="s">
        <v>221</v>
      </c>
      <c r="C17" s="262" t="s">
        <v>222</v>
      </c>
      <c r="D17" s="261" t="s">
        <v>227</v>
      </c>
      <c r="E17" s="259"/>
      <c r="F17" s="332"/>
      <c r="G17" s="160">
        <f>IF(F17="",100,IF(F17="no",0,1))</f>
        <v>100</v>
      </c>
      <c r="H17" s="134" t="s">
        <v>23</v>
      </c>
      <c r="I17" s="263" t="str">
        <f>IF(ISERROR(G22),"Warning; an error has occurred. Avoid using cut and paste functions. Press 'undo' or revert to last saved copy to correct the error",IF(F17="yes","Food fraud in this material is likely to create significant health hazards.",IF(F17="no","There are no significant health hazards likely to arise from food fraud.","")))</f>
        <v/>
      </c>
      <c r="J17" s="81"/>
      <c r="P17" s="13"/>
      <c r="T17" s="64"/>
    </row>
    <row r="18" spans="2:20" ht="58.8" customHeight="1">
      <c r="B18" s="258" t="s">
        <v>223</v>
      </c>
      <c r="C18" s="258" t="s">
        <v>224</v>
      </c>
      <c r="D18" s="264" t="s">
        <v>247</v>
      </c>
      <c r="E18" s="265"/>
      <c r="F18" s="306"/>
      <c r="G18" s="160">
        <f>IF(F18="",100,IF(F18="no",0,1))</f>
        <v>100</v>
      </c>
      <c r="H18" s="134" t="s">
        <v>23</v>
      </c>
      <c r="I18" s="263" t="str">
        <f>IF(ISERROR(G22),"Warning; an error has occurred. Avoid using cut and paste functions. Press 'undo' or revert to last saved copy to correct the error",IF(F18="yes","Food fraud in this material would have significant financial impacts on this business.",IF(F18="no","Food fraud in this material would not have significant financial impacts on this business.","")))</f>
        <v/>
      </c>
      <c r="J18" s="81"/>
      <c r="P18" s="13"/>
      <c r="T18" s="64"/>
    </row>
    <row r="19" spans="2:20" ht="84.6" customHeight="1">
      <c r="B19" s="258" t="s">
        <v>229</v>
      </c>
      <c r="C19" s="258" t="s">
        <v>225</v>
      </c>
      <c r="D19" s="328" t="s">
        <v>228</v>
      </c>
      <c r="E19" s="329"/>
      <c r="F19" s="306"/>
      <c r="G19" s="160">
        <f>IF(F19="",100,IF(F19="no",0,1))</f>
        <v>100</v>
      </c>
      <c r="H19" s="134" t="s">
        <v>23</v>
      </c>
      <c r="I19" s="263" t="str">
        <f>IF(ISERROR(G22),"Warning; an error has occurred. Avoid using cut and paste functions. Press 'undo' or revert to last saved copy to correct the error",IF(F19="yes","There would be other significant impacts on this business if food fraud was to affect this material.",IF(F19="no","","")))</f>
        <v/>
      </c>
      <c r="J19" s="81"/>
      <c r="P19" s="13"/>
      <c r="T19" s="64"/>
    </row>
    <row r="20" spans="2:20" ht="84.6" customHeight="1">
      <c r="B20" s="258" t="s">
        <v>230</v>
      </c>
      <c r="C20" s="266" t="s">
        <v>233</v>
      </c>
      <c r="D20" s="267" t="s">
        <v>80</v>
      </c>
      <c r="E20" s="406"/>
      <c r="F20" s="330" t="str">
        <f>IF(G20="Less severe impact","Less severe impact (calculated)",IF(G20="Severe impact","Severe impact (calculated)",""))</f>
        <v>Severe impact (calculated)</v>
      </c>
      <c r="G20" s="160" t="str">
        <f>IF(SUM(G17:G19)=0,"Less severe impact","Severe impact")</f>
        <v>Severe impact</v>
      </c>
      <c r="H20" s="134"/>
      <c r="I20" s="618" t="str">
        <f>IF(G21="Less severe impact","Food fraud in this material would not cause severe impacts on this business.",IF(G21="severe impact","Food fraud in this material would have severe impacts on the business.",""))</f>
        <v>Food fraud in this material would have severe impacts on the business.</v>
      </c>
      <c r="J20" s="530"/>
      <c r="T20" s="64"/>
    </row>
    <row r="21" spans="2:20" ht="84.6" customHeight="1">
      <c r="B21" s="258" t="s">
        <v>231</v>
      </c>
      <c r="C21" s="266" t="s">
        <v>232</v>
      </c>
      <c r="D21" s="267" t="s">
        <v>81</v>
      </c>
      <c r="E21" s="260"/>
      <c r="F21" s="305"/>
      <c r="G21" s="160" t="str">
        <f>IF(F21="",G20,F21)</f>
        <v>Severe impact</v>
      </c>
      <c r="H21" s="134"/>
      <c r="I21" s="619"/>
      <c r="J21" s="620"/>
      <c r="T21" s="64"/>
    </row>
    <row r="22" spans="2:20" ht="22.5" hidden="1" customHeight="1">
      <c r="C22" s="78"/>
      <c r="D22" s="69"/>
      <c r="E22" s="69"/>
      <c r="G22" s="158">
        <f>SUM(G10:G20)</f>
        <v>600</v>
      </c>
      <c r="H22" s="4" t="s">
        <v>244</v>
      </c>
    </row>
    <row r="23" spans="2:20" ht="22.5" customHeight="1" thickBot="1">
      <c r="C23" s="78"/>
      <c r="D23" s="69"/>
      <c r="E23" s="69"/>
    </row>
    <row r="24" spans="2:20" ht="40.200000000000003" thickBot="1">
      <c r="C24" s="58" t="s">
        <v>240</v>
      </c>
    </row>
    <row r="25" spans="2:20" ht="13.8" thickBot="1"/>
    <row r="26" spans="2:20" ht="27" thickBot="1">
      <c r="C26" s="58" t="s">
        <v>17</v>
      </c>
    </row>
  </sheetData>
  <sheetProtection algorithmName="SHA-512" hashValue="n1F72uUPVA9QX3TnuJFjMcTrLpSnbsxC6ttOZUovdZ8R8JRQi/z+omM7l4ltSXyjzTWKco9kVdkymkM7F6FmCA==" saltValue="gV0ywYSrEctyqGqyJLCQ1Q==" spinCount="100000" sheet="1" objects="1" scenarios="1"/>
  <mergeCells count="9">
    <mergeCell ref="B16:C16"/>
    <mergeCell ref="I20:I21"/>
    <mergeCell ref="J20:J21"/>
    <mergeCell ref="K3:L3"/>
    <mergeCell ref="M3:N3"/>
    <mergeCell ref="O3:P3"/>
    <mergeCell ref="B9:C9"/>
    <mergeCell ref="I13:I14"/>
    <mergeCell ref="J13:J14"/>
  </mergeCells>
  <conditionalFormatting sqref="I10:I13 I17:I20">
    <cfRule type="cellIs" dxfId="35" priority="196" operator="equal">
      <formula>"Warning; an error has occurred. Avoid using cut and paste functions. Press 'undo' or revert to last saved copy to correct the error"</formula>
    </cfRule>
  </conditionalFormatting>
  <conditionalFormatting sqref="F13">
    <cfRule type="cellIs" dxfId="34" priority="114" operator="equal">
      <formula>"no"</formula>
    </cfRule>
  </conditionalFormatting>
  <conditionalFormatting sqref="F13">
    <cfRule type="cellIs" dxfId="33" priority="115" operator="equal">
      <formula>"somewhat expensive"</formula>
    </cfRule>
  </conditionalFormatting>
  <conditionalFormatting sqref="F13">
    <cfRule type="cellIs" dxfId="32" priority="116" operator="equal">
      <formula>"yes very expensive"</formula>
    </cfRule>
  </conditionalFormatting>
  <conditionalFormatting sqref="F18">
    <cfRule type="cellIs" dxfId="31" priority="101" operator="equal">
      <formula>"yes"</formula>
    </cfRule>
  </conditionalFormatting>
  <conditionalFormatting sqref="F18">
    <cfRule type="cellIs" dxfId="30" priority="102" operator="equal">
      <formula>"no"</formula>
    </cfRule>
  </conditionalFormatting>
  <conditionalFormatting sqref="F21">
    <cfRule type="cellIs" dxfId="29" priority="87" operator="equal">
      <formula>"no"</formula>
    </cfRule>
  </conditionalFormatting>
  <conditionalFormatting sqref="F21">
    <cfRule type="cellIs" dxfId="28" priority="88" operator="equal">
      <formula>"somewhat complex"</formula>
    </cfRule>
  </conditionalFormatting>
  <conditionalFormatting sqref="F21">
    <cfRule type="cellIs" dxfId="27" priority="89" operator="equal">
      <formula>"yes very complex and/or long"</formula>
    </cfRule>
  </conditionalFormatting>
  <conditionalFormatting sqref="F20">
    <cfRule type="cellIs" dxfId="26" priority="85" operator="equal">
      <formula>"no"</formula>
    </cfRule>
  </conditionalFormatting>
  <conditionalFormatting sqref="F20">
    <cfRule type="cellIs" dxfId="25" priority="86" operator="equal">
      <formula>"yes"</formula>
    </cfRule>
  </conditionalFormatting>
  <conditionalFormatting sqref="F15">
    <cfRule type="cellIs" dxfId="24" priority="83" operator="equal">
      <formula>"yes"</formula>
    </cfRule>
  </conditionalFormatting>
  <conditionalFormatting sqref="F15">
    <cfRule type="cellIs" dxfId="23" priority="84" operator="equal">
      <formula>"no"</formula>
    </cfRule>
  </conditionalFormatting>
  <conditionalFormatting sqref="F17">
    <cfRule type="cellIs" dxfId="22" priority="81" operator="equal">
      <formula>"yes"</formula>
    </cfRule>
  </conditionalFormatting>
  <conditionalFormatting sqref="F17">
    <cfRule type="cellIs" dxfId="21" priority="82" operator="equal">
      <formula>"no"</formula>
    </cfRule>
  </conditionalFormatting>
  <conditionalFormatting sqref="F14">
    <cfRule type="cellIs" dxfId="20" priority="79" operator="equal">
      <formula>"yes"</formula>
    </cfRule>
  </conditionalFormatting>
  <conditionalFormatting sqref="F14">
    <cfRule type="cellIs" dxfId="19" priority="80" operator="equal">
      <formula>"no"</formula>
    </cfRule>
  </conditionalFormatting>
  <conditionalFormatting sqref="F11">
    <cfRule type="cellIs" dxfId="18" priority="77" operator="equal">
      <formula>"yes"</formula>
    </cfRule>
  </conditionalFormatting>
  <conditionalFormatting sqref="F11">
    <cfRule type="cellIs" dxfId="17" priority="78" operator="equal">
      <formula>"no"</formula>
    </cfRule>
  </conditionalFormatting>
  <conditionalFormatting sqref="F10">
    <cfRule type="cellIs" dxfId="16" priority="74" operator="equal">
      <formula>"no"</formula>
    </cfRule>
  </conditionalFormatting>
  <conditionalFormatting sqref="F10">
    <cfRule type="cellIs" dxfId="15" priority="75" operator="equal">
      <formula>"a few incidences"</formula>
    </cfRule>
  </conditionalFormatting>
  <conditionalFormatting sqref="F10">
    <cfRule type="cellIs" dxfId="14" priority="76" operator="equal">
      <formula>"yes many incidences"</formula>
    </cfRule>
  </conditionalFormatting>
  <conditionalFormatting sqref="F12">
    <cfRule type="cellIs" dxfId="13" priority="13" operator="equal">
      <formula>"yes"</formula>
    </cfRule>
  </conditionalFormatting>
  <conditionalFormatting sqref="F12">
    <cfRule type="cellIs" dxfId="12" priority="14" operator="equal">
      <formula>"no"</formula>
    </cfRule>
  </conditionalFormatting>
  <conditionalFormatting sqref="F19">
    <cfRule type="cellIs" dxfId="11" priority="9" operator="equal">
      <formula>"yes"</formula>
    </cfRule>
  </conditionalFormatting>
  <conditionalFormatting sqref="F19">
    <cfRule type="cellIs" dxfId="10" priority="10" operator="equal">
      <formula>"no"</formula>
    </cfRule>
  </conditionalFormatting>
  <dataValidations count="4">
    <dataValidation type="list" errorStyle="warning" allowBlank="1" showErrorMessage="1" error="Choose an option from the dropdown list" sqref="F21" xr:uid="{00000000-0002-0000-0900-000000000000}">
      <formula1>"Less severe impact,Severe impact"</formula1>
    </dataValidation>
    <dataValidation type="list" errorStyle="warning" allowBlank="1" showErrorMessage="1" error="Choose an option from the dropdown list" sqref="F11:F12 F15 F17:F19" xr:uid="{00000000-0002-0000-0900-000001000000}">
      <formula1>"yes,no"</formula1>
    </dataValidation>
    <dataValidation type="list" errorStyle="warning" allowBlank="1" showErrorMessage="1" error="Choose an option from the dropdown list" sqref="F10" xr:uid="{00000000-0002-0000-0900-000002000000}">
      <formula1>"yes many incidences,a few incidences,no"</formula1>
    </dataValidation>
    <dataValidation type="list" errorStyle="warning" allowBlank="1" showErrorMessage="1" error="Choose an option from the dropdown list" sqref="F14" xr:uid="{00000000-0002-0000-0900-000003000000}">
      <formula1>"Relatively unlikely, Relatively likely"</formula1>
    </dataValidation>
  </dataValidations>
  <hyperlinks>
    <hyperlink ref="C26" location="Instructions!A11" display="Back to Instructions page" xr:uid="{00000000-0004-0000-0900-000000000000}"/>
    <hyperlink ref="E10" r:id="rId1" xr:uid="{00000000-0004-0000-0900-000001000000}"/>
    <hyperlink ref="E11" r:id="rId2" xr:uid="{00000000-0004-0000-0900-000003000000}"/>
    <hyperlink ref="C24" location="'Results section 1'!A43" display="View your pre-screen results and create a report" xr:uid="{00000000-0004-0000-0900-000004000000}"/>
    <hyperlink ref="B4:C4" location="'Scope worksheet'!A1" display="Back to scope worksheet" xr:uid="{00000000-0004-0000-0900-000005000000}"/>
  </hyperlinks>
  <pageMargins left="0.7" right="0.7" top="0.75" bottom="0.75" header="0.3" footer="0.3"/>
  <pageSetup paperSize="9" orientation="portrait" horizontalDpi="0" verticalDpi="0" r:id="rId3"/>
  <drawing r:id="rId4"/>
  <legacyDrawing r:id="rId5"/>
  <picture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dimension ref="B1:G53"/>
  <sheetViews>
    <sheetView showGridLines="0" showRowColHeaders="0" showRuler="0" zoomScaleNormal="100" zoomScaleSheetLayoutView="112" workbookViewId="0">
      <selection activeCell="G2" sqref="G2"/>
    </sheetView>
  </sheetViews>
  <sheetFormatPr defaultColWidth="9.109375" defaultRowHeight="13.2"/>
  <cols>
    <col min="1" max="1" width="7" style="1" customWidth="1"/>
    <col min="2" max="2" width="20.109375" style="1" customWidth="1"/>
    <col min="3" max="3" width="20.44140625" style="1" customWidth="1"/>
    <col min="4" max="4" width="18" style="1" customWidth="1"/>
    <col min="5" max="5" width="19.5546875" style="1" customWidth="1"/>
    <col min="6" max="6" width="6.33203125" style="1" customWidth="1"/>
    <col min="7" max="7" width="17.44140625" style="1" customWidth="1"/>
    <col min="8" max="16384" width="9.109375" style="1"/>
  </cols>
  <sheetData>
    <row r="1" spans="2:7" ht="10.199999999999999" customHeight="1" thickBot="1">
      <c r="B1" s="3"/>
      <c r="C1" s="195"/>
      <c r="D1" s="8"/>
      <c r="E1" s="8"/>
      <c r="F1" s="8"/>
      <c r="G1" s="39"/>
    </row>
    <row r="2" spans="2:7" ht="27" thickBot="1">
      <c r="B2" s="5" t="s">
        <v>187</v>
      </c>
      <c r="F2" s="4"/>
      <c r="G2" s="58" t="s">
        <v>157</v>
      </c>
    </row>
    <row r="3" spans="2:7">
      <c r="F3" s="4"/>
      <c r="G3" s="4"/>
    </row>
    <row r="4" spans="2:7" ht="28.5" customHeight="1">
      <c r="B4" s="625" t="s">
        <v>151</v>
      </c>
      <c r="C4" s="626"/>
      <c r="D4" s="490" t="str">
        <f>IF('Scope worksheet'!D6="Insert name of material or material group here","Insert name on scope worksheet",'Scope worksheet'!D6)</f>
        <v>Insert name on scope worksheet</v>
      </c>
      <c r="E4" s="491"/>
      <c r="F4" s="4"/>
      <c r="G4" s="4"/>
    </row>
    <row r="5" spans="2:7" ht="32.25" customHeight="1">
      <c r="B5" s="627" t="s">
        <v>152</v>
      </c>
      <c r="C5" s="628"/>
      <c r="D5" s="622" t="str">
        <f>IF('Scope worksheet'!D19="Type a description of the group of materials here","",'Scope worksheet'!D19)</f>
        <v/>
      </c>
      <c r="E5" s="623"/>
    </row>
    <row r="6" spans="2:7" ht="32.25" customHeight="1">
      <c r="B6" s="621" t="s">
        <v>153</v>
      </c>
      <c r="C6" s="621"/>
      <c r="D6" s="622" t="str">
        <f>IF('Scope worksheet'!D20="Briefly describe product range/s that contain this ingredient or raw material.  If you need more space, use product list sheet.","",'Scope worksheet'!D20)</f>
        <v/>
      </c>
      <c r="E6" s="623"/>
    </row>
    <row r="7" spans="2:7" ht="37.5" customHeight="1">
      <c r="B7" s="624" t="s">
        <v>154</v>
      </c>
      <c r="C7" s="549"/>
      <c r="D7" s="549"/>
      <c r="E7" s="550"/>
    </row>
    <row r="8" spans="2:7" ht="26.4">
      <c r="B8" s="148" t="s">
        <v>155</v>
      </c>
      <c r="C8" s="149"/>
      <c r="D8" s="150"/>
      <c r="E8" s="151"/>
    </row>
    <row r="9" spans="2:7">
      <c r="B9" s="152"/>
      <c r="C9" s="152"/>
      <c r="D9" s="150"/>
      <c r="E9" s="151"/>
    </row>
    <row r="10" spans="2:7">
      <c r="B10" s="152"/>
      <c r="C10" s="149"/>
      <c r="D10" s="150"/>
      <c r="E10" s="151"/>
    </row>
    <row r="11" spans="2:7">
      <c r="B11" s="152"/>
      <c r="C11" s="152"/>
      <c r="D11" s="150"/>
      <c r="E11" s="151"/>
    </row>
    <row r="12" spans="2:7">
      <c r="B12" s="152"/>
      <c r="C12" s="149"/>
      <c r="D12" s="150"/>
      <c r="E12" s="151"/>
    </row>
    <row r="13" spans="2:7">
      <c r="B13" s="152"/>
      <c r="C13" s="152"/>
      <c r="D13" s="150"/>
      <c r="E13" s="151"/>
    </row>
    <row r="14" spans="2:7">
      <c r="B14" s="151"/>
      <c r="C14" s="151"/>
      <c r="D14" s="151"/>
      <c r="E14" s="151"/>
    </row>
    <row r="15" spans="2:7">
      <c r="B15" s="153"/>
      <c r="C15" s="153"/>
      <c r="D15" s="153"/>
      <c r="E15" s="153"/>
    </row>
    <row r="16" spans="2:7">
      <c r="B16" s="154"/>
      <c r="C16" s="154"/>
      <c r="D16" s="154"/>
      <c r="E16" s="154"/>
    </row>
    <row r="17" spans="2:5">
      <c r="B17" s="154"/>
      <c r="C17" s="154"/>
      <c r="D17" s="154"/>
      <c r="E17" s="154"/>
    </row>
    <row r="18" spans="2:5">
      <c r="B18" s="154"/>
      <c r="C18" s="154"/>
      <c r="D18" s="154"/>
      <c r="E18" s="154"/>
    </row>
    <row r="19" spans="2:5">
      <c r="B19" s="154"/>
      <c r="C19" s="154"/>
      <c r="D19" s="154"/>
      <c r="E19" s="154"/>
    </row>
    <row r="20" spans="2:5">
      <c r="B20" s="154"/>
      <c r="C20" s="154"/>
      <c r="D20" s="154"/>
      <c r="E20" s="154"/>
    </row>
    <row r="21" spans="2:5">
      <c r="B21" s="154"/>
      <c r="C21" s="154"/>
      <c r="D21" s="154"/>
      <c r="E21" s="154"/>
    </row>
    <row r="22" spans="2:5">
      <c r="B22" s="154"/>
      <c r="C22" s="154"/>
      <c r="D22" s="154"/>
      <c r="E22" s="154"/>
    </row>
    <row r="23" spans="2:5">
      <c r="B23" s="154"/>
      <c r="C23" s="154"/>
      <c r="D23" s="154"/>
      <c r="E23" s="154"/>
    </row>
    <row r="24" spans="2:5">
      <c r="B24" s="154"/>
      <c r="C24" s="154"/>
      <c r="D24" s="154"/>
      <c r="E24" s="154"/>
    </row>
    <row r="25" spans="2:5">
      <c r="B25" s="154"/>
      <c r="C25" s="154"/>
      <c r="D25" s="154"/>
      <c r="E25" s="154"/>
    </row>
    <row r="26" spans="2:5">
      <c r="B26" s="154"/>
      <c r="C26" s="154"/>
      <c r="D26" s="154"/>
      <c r="E26" s="154"/>
    </row>
    <row r="27" spans="2:5">
      <c r="B27" s="154"/>
      <c r="C27" s="154"/>
      <c r="D27" s="154"/>
      <c r="E27" s="154"/>
    </row>
    <row r="28" spans="2:5">
      <c r="B28" s="154"/>
      <c r="C28" s="154"/>
      <c r="D28" s="154"/>
      <c r="E28" s="154"/>
    </row>
    <row r="29" spans="2:5">
      <c r="B29" s="155"/>
      <c r="C29" s="155"/>
      <c r="D29" s="155"/>
      <c r="E29" s="155"/>
    </row>
    <row r="30" spans="2:5">
      <c r="B30" s="150"/>
      <c r="C30" s="150"/>
      <c r="D30" s="150"/>
      <c r="E30" s="150"/>
    </row>
    <row r="31" spans="2:5">
      <c r="B31" s="150"/>
      <c r="C31" s="150"/>
      <c r="D31" s="150"/>
      <c r="E31" s="150"/>
    </row>
    <row r="32" spans="2:5">
      <c r="B32" s="150"/>
      <c r="C32" s="150"/>
      <c r="D32" s="150"/>
      <c r="E32" s="150"/>
    </row>
    <row r="33" spans="2:5">
      <c r="B33" s="150"/>
      <c r="C33" s="150"/>
      <c r="D33" s="150"/>
      <c r="E33" s="150"/>
    </row>
    <row r="34" spans="2:5">
      <c r="B34" s="150"/>
      <c r="C34" s="150"/>
      <c r="D34" s="150"/>
      <c r="E34" s="150"/>
    </row>
    <row r="35" spans="2:5">
      <c r="B35" s="150"/>
      <c r="C35" s="150"/>
      <c r="D35" s="150"/>
      <c r="E35" s="150"/>
    </row>
    <row r="36" spans="2:5">
      <c r="B36" s="150"/>
      <c r="C36" s="150"/>
      <c r="D36" s="150"/>
      <c r="E36" s="150"/>
    </row>
    <row r="37" spans="2:5">
      <c r="B37" s="150"/>
      <c r="C37" s="150"/>
      <c r="D37" s="150"/>
      <c r="E37" s="150"/>
    </row>
    <row r="38" spans="2:5">
      <c r="B38" s="150"/>
      <c r="C38" s="150"/>
      <c r="D38" s="150"/>
      <c r="E38" s="150"/>
    </row>
    <row r="39" spans="2:5">
      <c r="B39" s="150"/>
      <c r="C39" s="150"/>
      <c r="D39" s="150"/>
      <c r="E39" s="150"/>
    </row>
    <row r="40" spans="2:5">
      <c r="B40" s="150"/>
      <c r="C40" s="150"/>
      <c r="D40" s="150"/>
      <c r="E40" s="150"/>
    </row>
    <row r="41" spans="2:5">
      <c r="B41" s="150"/>
      <c r="C41" s="150"/>
      <c r="D41" s="150"/>
      <c r="E41" s="150"/>
    </row>
    <row r="42" spans="2:5">
      <c r="B42" s="150"/>
      <c r="C42" s="150"/>
      <c r="D42" s="150"/>
      <c r="E42" s="150"/>
    </row>
    <row r="43" spans="2:5">
      <c r="B43" s="150"/>
      <c r="C43" s="150"/>
      <c r="D43" s="150"/>
      <c r="E43" s="150"/>
    </row>
    <row r="44" spans="2:5">
      <c r="B44" s="150"/>
      <c r="C44" s="150"/>
      <c r="D44" s="150"/>
      <c r="E44" s="150"/>
    </row>
    <row r="45" spans="2:5">
      <c r="B45" s="150"/>
      <c r="C45" s="150"/>
      <c r="D45" s="150"/>
      <c r="E45" s="150"/>
    </row>
    <row r="46" spans="2:5">
      <c r="B46" s="150"/>
      <c r="C46" s="150"/>
      <c r="D46" s="150"/>
      <c r="E46" s="150"/>
    </row>
    <row r="47" spans="2:5">
      <c r="B47" s="150"/>
      <c r="C47" s="150"/>
      <c r="D47" s="150"/>
      <c r="E47" s="150"/>
    </row>
    <row r="48" spans="2:5">
      <c r="B48" s="150"/>
      <c r="C48" s="150"/>
      <c r="D48" s="150"/>
      <c r="E48" s="150"/>
    </row>
    <row r="49" spans="2:5">
      <c r="B49" s="150"/>
      <c r="C49" s="150"/>
      <c r="D49" s="150"/>
      <c r="E49" s="150"/>
    </row>
    <row r="50" spans="2:5">
      <c r="B50" s="150"/>
      <c r="C50" s="150"/>
      <c r="D50" s="150"/>
      <c r="E50" s="150"/>
    </row>
    <row r="51" spans="2:5">
      <c r="B51" s="150"/>
      <c r="C51" s="150"/>
      <c r="D51" s="150"/>
      <c r="E51" s="150"/>
    </row>
    <row r="52" spans="2:5">
      <c r="B52" s="150"/>
      <c r="C52" s="150"/>
      <c r="D52" s="150"/>
      <c r="E52" s="150"/>
    </row>
    <row r="53" spans="2:5">
      <c r="B53" s="150"/>
      <c r="C53" s="150"/>
      <c r="D53" s="150"/>
      <c r="E53" s="150"/>
    </row>
  </sheetData>
  <sheetProtection algorithmName="SHA-512" hashValue="I85FuA56RujYMAqzeMTG3YCyCdCQof1TzcyzU90nGMhT71P9Rp/XEQNgL5VTPEAst5OurFGPYWpXD+oqoHUNOQ==" saltValue="JIp9KCQB+nCPd7qD2G/i7g==" spinCount="100000" sheet="1" formatCells="0" formatColumns="0" formatRows="0" insertColumns="0" insertRows="0" insertHyperlinks="0" deleteColumns="0" deleteRows="0" selectLockedCells="1" sort="0"/>
  <mergeCells count="7">
    <mergeCell ref="B6:C6"/>
    <mergeCell ref="D6:E6"/>
    <mergeCell ref="B7:E7"/>
    <mergeCell ref="B4:C4"/>
    <mergeCell ref="D4:E4"/>
    <mergeCell ref="B5:C5"/>
    <mergeCell ref="D5:E5"/>
  </mergeCells>
  <hyperlinks>
    <hyperlink ref="G2" location="'Scope worksheet'!D20" display="Back to Scope worksheet" xr:uid="{00000000-0004-0000-0A00-000000000000}"/>
  </hyperlinks>
  <pageMargins left="0.7" right="0.7" top="0.75" bottom="0.75" header="0.3" footer="0.3"/>
  <pageSetup paperSize="9" orientation="portrait" horizontalDpi="0" verticalDpi="0" r:id="rId1"/>
  <headerFooter>
    <oddHeader>&amp;C&amp;K00CC00Vulnerability Assessment Tool, Food Fraud Advisors 2019</oddHeader>
    <oddFooter>&amp;CInsert your company's document control features here</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205AF-E427-4231-B6BB-F901069FAEC0}">
  <sheetPr codeName="Sheet11"/>
  <dimension ref="B1:N25"/>
  <sheetViews>
    <sheetView showRowColHeaders="0" zoomScale="99" zoomScaleNormal="99" workbookViewId="0"/>
  </sheetViews>
  <sheetFormatPr defaultRowHeight="13.2"/>
  <cols>
    <col min="1" max="1" width="4.88671875" customWidth="1"/>
    <col min="2" max="2" width="5.21875" customWidth="1"/>
    <col min="3" max="3" width="14.6640625" customWidth="1"/>
    <col min="4" max="4" width="59.44140625" customWidth="1"/>
    <col min="6" max="6" width="3.44140625" customWidth="1"/>
    <col min="7" max="7" width="12.33203125" customWidth="1"/>
    <col min="8" max="8" width="13.88671875" customWidth="1"/>
    <col min="9" max="9" width="12.21875" customWidth="1"/>
    <col min="10" max="10" width="13" customWidth="1"/>
    <col min="11" max="11" width="12.77734375" customWidth="1"/>
    <col min="12" max="12" width="13.6640625" customWidth="1"/>
  </cols>
  <sheetData>
    <row r="1" spans="2:14" ht="27.6" customHeight="1"/>
    <row r="2" spans="2:14" ht="43.8" customHeight="1">
      <c r="B2" s="459"/>
      <c r="C2" s="466" t="s">
        <v>343</v>
      </c>
      <c r="D2" s="459"/>
      <c r="E2" s="459"/>
      <c r="F2" s="459"/>
      <c r="G2" s="459"/>
      <c r="H2" s="459"/>
      <c r="I2" s="459"/>
      <c r="J2" s="459"/>
      <c r="K2" s="459"/>
      <c r="L2" s="459"/>
      <c r="M2" s="459"/>
      <c r="N2" s="459"/>
    </row>
    <row r="3" spans="2:14">
      <c r="B3" s="459"/>
      <c r="C3" s="459"/>
      <c r="D3" s="459"/>
      <c r="E3" s="459"/>
      <c r="F3" s="459"/>
      <c r="G3" s="459"/>
      <c r="H3" s="459"/>
      <c r="I3" s="459"/>
      <c r="J3" s="459"/>
      <c r="K3" s="459"/>
      <c r="L3" s="459"/>
      <c r="M3" s="459"/>
      <c r="N3" s="459"/>
    </row>
    <row r="4" spans="2:14" s="458" customFormat="1" ht="21" customHeight="1">
      <c r="B4" s="461"/>
      <c r="C4" s="461" t="s">
        <v>342</v>
      </c>
      <c r="D4" s="461"/>
      <c r="E4" s="461"/>
      <c r="F4" s="461"/>
      <c r="G4" s="461"/>
      <c r="H4" s="461"/>
      <c r="I4" s="461"/>
      <c r="J4" s="461"/>
      <c r="K4" s="461"/>
      <c r="L4" s="461"/>
      <c r="M4" s="461"/>
      <c r="N4" s="461"/>
    </row>
    <row r="5" spans="2:14" ht="115.8" customHeight="1">
      <c r="B5" s="459"/>
      <c r="C5" s="459"/>
      <c r="D5" s="470" t="s">
        <v>345</v>
      </c>
      <c r="E5" s="459"/>
      <c r="F5" s="459"/>
      <c r="G5" s="459"/>
      <c r="H5" s="459"/>
      <c r="I5" s="459"/>
      <c r="J5" s="459"/>
      <c r="K5" s="459"/>
      <c r="L5" s="459"/>
      <c r="M5" s="459"/>
      <c r="N5" s="459"/>
    </row>
    <row r="6" spans="2:14" s="56" customFormat="1" ht="60" customHeight="1">
      <c r="B6" s="462"/>
      <c r="C6" s="638" t="s">
        <v>346</v>
      </c>
      <c r="D6" s="638"/>
      <c r="E6" s="462"/>
      <c r="F6" s="462"/>
      <c r="G6" s="462"/>
      <c r="H6" s="462"/>
      <c r="I6" s="462"/>
      <c r="J6" s="462"/>
      <c r="K6" s="462"/>
      <c r="L6" s="462"/>
      <c r="M6" s="462"/>
      <c r="N6" s="462"/>
    </row>
    <row r="7" spans="2:14" s="56" customFormat="1" ht="12" customHeight="1">
      <c r="B7" s="462"/>
      <c r="C7" s="463"/>
      <c r="D7" s="463"/>
      <c r="E7" s="462"/>
      <c r="F7" s="462"/>
      <c r="G7" s="462"/>
      <c r="H7" s="462"/>
      <c r="I7" s="462"/>
      <c r="J7" s="462"/>
      <c r="K7" s="462"/>
      <c r="L7" s="462"/>
      <c r="M7" s="462"/>
      <c r="N7" s="462"/>
    </row>
    <row r="8" spans="2:14" ht="28.8" customHeight="1">
      <c r="B8" s="459"/>
      <c r="C8" s="639" t="s">
        <v>344</v>
      </c>
      <c r="D8" s="639"/>
      <c r="E8" s="459"/>
      <c r="F8" s="459"/>
      <c r="G8" s="459"/>
      <c r="H8" s="459"/>
      <c r="I8" s="459"/>
      <c r="J8" s="459"/>
      <c r="K8" s="459"/>
      <c r="L8" s="459"/>
      <c r="M8" s="459"/>
      <c r="N8" s="459"/>
    </row>
    <row r="9" spans="2:14">
      <c r="B9" s="459"/>
      <c r="C9" s="459"/>
      <c r="D9" s="459"/>
      <c r="E9" s="459"/>
      <c r="F9" s="459"/>
      <c r="G9" s="459"/>
      <c r="H9" s="459"/>
      <c r="I9" s="459"/>
      <c r="J9" s="459"/>
      <c r="K9" s="459"/>
      <c r="L9" s="459"/>
      <c r="M9" s="459"/>
      <c r="N9" s="459"/>
    </row>
    <row r="10" spans="2:14" ht="21">
      <c r="B10" s="459"/>
      <c r="C10" s="460" t="s">
        <v>302</v>
      </c>
      <c r="D10" s="464"/>
      <c r="E10" s="459"/>
      <c r="F10" s="459"/>
      <c r="G10" s="464"/>
      <c r="H10" s="464"/>
      <c r="I10" s="464"/>
      <c r="J10" s="464"/>
      <c r="K10" s="464"/>
      <c r="L10" s="464"/>
      <c r="M10" s="459"/>
      <c r="N10" s="459"/>
    </row>
    <row r="11" spans="2:14" ht="21">
      <c r="B11" s="459"/>
      <c r="C11" s="460" t="s">
        <v>303</v>
      </c>
      <c r="D11" s="464"/>
      <c r="E11" s="459"/>
      <c r="F11" s="459"/>
      <c r="G11" s="464"/>
      <c r="H11" s="464"/>
      <c r="I11" s="464"/>
      <c r="J11" s="464"/>
      <c r="K11" s="464"/>
      <c r="L11" s="464"/>
      <c r="M11" s="459"/>
      <c r="N11" s="459"/>
    </row>
    <row r="12" spans="2:14">
      <c r="B12" s="459"/>
      <c r="C12" s="464"/>
      <c r="D12" s="464"/>
      <c r="E12" s="459"/>
      <c r="F12" s="459"/>
      <c r="G12" s="464"/>
      <c r="H12" s="464"/>
      <c r="I12" s="464"/>
      <c r="J12" s="464"/>
      <c r="K12" s="464"/>
      <c r="L12" s="464"/>
      <c r="M12" s="459"/>
      <c r="N12" s="459"/>
    </row>
    <row r="13" spans="2:14" ht="17.399999999999999">
      <c r="B13" s="459"/>
      <c r="C13" s="465" t="s">
        <v>304</v>
      </c>
      <c r="D13" s="464"/>
      <c r="E13" s="459"/>
      <c r="F13" s="459"/>
      <c r="G13" s="465" t="s">
        <v>305</v>
      </c>
      <c r="H13" s="464"/>
      <c r="I13" s="464"/>
      <c r="J13" s="464"/>
      <c r="K13" s="464"/>
      <c r="L13" s="464"/>
      <c r="M13" s="459"/>
      <c r="N13" s="459"/>
    </row>
    <row r="14" spans="2:14" ht="18" thickBot="1">
      <c r="B14" s="459"/>
      <c r="C14" s="464"/>
      <c r="D14" s="464"/>
      <c r="E14" s="459"/>
      <c r="F14" s="459"/>
      <c r="G14" s="465"/>
      <c r="H14" s="464"/>
      <c r="I14" s="464"/>
      <c r="J14" s="464"/>
      <c r="K14" s="464"/>
      <c r="L14" s="464"/>
      <c r="M14" s="459"/>
      <c r="N14" s="459"/>
    </row>
    <row r="15" spans="2:14" ht="69.599999999999994" thickBot="1">
      <c r="B15" s="459"/>
      <c r="C15" s="471" t="s">
        <v>306</v>
      </c>
      <c r="D15" s="472" t="s">
        <v>307</v>
      </c>
      <c r="E15" s="459"/>
      <c r="F15" s="459"/>
      <c r="G15" s="473" t="s">
        <v>306</v>
      </c>
      <c r="H15" s="474" t="s">
        <v>308</v>
      </c>
      <c r="I15" s="474" t="s">
        <v>309</v>
      </c>
      <c r="J15" s="474" t="s">
        <v>310</v>
      </c>
      <c r="K15" s="474" t="s">
        <v>311</v>
      </c>
      <c r="L15" s="474" t="s">
        <v>312</v>
      </c>
      <c r="M15" s="459"/>
      <c r="N15" s="459"/>
    </row>
    <row r="16" spans="2:14" ht="55.8" customHeight="1" thickBot="1">
      <c r="B16" s="459"/>
      <c r="C16" s="480" t="s">
        <v>34</v>
      </c>
      <c r="D16" s="481" t="s">
        <v>353</v>
      </c>
      <c r="E16" s="459"/>
      <c r="F16" s="459"/>
      <c r="G16" s="482" t="s">
        <v>97</v>
      </c>
      <c r="H16" s="629" t="s">
        <v>353</v>
      </c>
      <c r="I16" s="630"/>
      <c r="J16" s="630"/>
      <c r="K16" s="630"/>
      <c r="L16" s="631"/>
      <c r="M16" s="459"/>
      <c r="N16" s="459"/>
    </row>
    <row r="17" spans="2:14" ht="14.4" customHeight="1" thickBot="1">
      <c r="B17" s="459"/>
      <c r="C17" s="480" t="s">
        <v>35</v>
      </c>
      <c r="D17" s="481" t="s">
        <v>353</v>
      </c>
      <c r="E17" s="459"/>
      <c r="F17" s="459"/>
      <c r="G17" s="640" t="s">
        <v>98</v>
      </c>
      <c r="H17" s="632" t="s">
        <v>353</v>
      </c>
      <c r="I17" s="633"/>
      <c r="J17" s="633"/>
      <c r="K17" s="633"/>
      <c r="L17" s="634"/>
      <c r="M17" s="459"/>
      <c r="N17" s="459"/>
    </row>
    <row r="18" spans="2:14" ht="14.4" thickBot="1">
      <c r="B18" s="459"/>
      <c r="C18" s="480" t="s">
        <v>29</v>
      </c>
      <c r="D18" s="481" t="s">
        <v>353</v>
      </c>
      <c r="E18" s="459"/>
      <c r="F18" s="459"/>
      <c r="G18" s="641"/>
      <c r="H18" s="635"/>
      <c r="I18" s="636"/>
      <c r="J18" s="636"/>
      <c r="K18" s="636"/>
      <c r="L18" s="637"/>
      <c r="M18" s="459"/>
      <c r="N18" s="459"/>
    </row>
    <row r="19" spans="2:14" ht="55.8" customHeight="1" thickBot="1">
      <c r="B19" s="459"/>
      <c r="C19" s="480" t="s">
        <v>36</v>
      </c>
      <c r="D19" s="481" t="s">
        <v>353</v>
      </c>
      <c r="E19" s="459"/>
      <c r="F19" s="459"/>
      <c r="G19" s="482" t="s">
        <v>99</v>
      </c>
      <c r="H19" s="629" t="s">
        <v>353</v>
      </c>
      <c r="I19" s="630"/>
      <c r="J19" s="630"/>
      <c r="K19" s="630"/>
      <c r="L19" s="631"/>
      <c r="M19" s="459"/>
      <c r="N19" s="459"/>
    </row>
    <row r="20" spans="2:14" ht="55.8" customHeight="1" thickBot="1">
      <c r="B20" s="459"/>
      <c r="C20" s="480" t="s">
        <v>313</v>
      </c>
      <c r="D20" s="481" t="s">
        <v>353</v>
      </c>
      <c r="E20" s="459"/>
      <c r="F20" s="459"/>
      <c r="G20" s="482" t="s">
        <v>100</v>
      </c>
      <c r="H20" s="629" t="s">
        <v>353</v>
      </c>
      <c r="I20" s="630"/>
      <c r="J20" s="630"/>
      <c r="K20" s="630"/>
      <c r="L20" s="631"/>
      <c r="M20" s="459"/>
      <c r="N20" s="459"/>
    </row>
    <row r="21" spans="2:14" ht="55.8" customHeight="1" thickBot="1">
      <c r="B21" s="459"/>
      <c r="C21" s="464"/>
      <c r="D21" s="459"/>
      <c r="E21" s="459"/>
      <c r="F21" s="459"/>
      <c r="G21" s="482" t="s">
        <v>101</v>
      </c>
      <c r="H21" s="629" t="s">
        <v>353</v>
      </c>
      <c r="I21" s="630"/>
      <c r="J21" s="630"/>
      <c r="K21" s="630"/>
      <c r="L21" s="631"/>
      <c r="M21" s="459"/>
      <c r="N21" s="459"/>
    </row>
    <row r="22" spans="2:14">
      <c r="B22" s="459"/>
      <c r="C22" s="464"/>
      <c r="D22" s="464"/>
      <c r="E22" s="459"/>
      <c r="F22" s="459"/>
      <c r="G22" s="464"/>
      <c r="H22" s="464"/>
      <c r="I22" s="464"/>
      <c r="J22" s="464"/>
      <c r="K22" s="464"/>
      <c r="L22" s="464"/>
      <c r="M22" s="459"/>
      <c r="N22" s="459"/>
    </row>
    <row r="23" spans="2:14">
      <c r="B23" s="459"/>
      <c r="C23" s="464"/>
      <c r="D23" s="464"/>
      <c r="E23" s="459"/>
      <c r="F23" s="459"/>
      <c r="G23" s="464"/>
      <c r="H23" s="464"/>
      <c r="I23" s="464"/>
      <c r="J23" s="464"/>
      <c r="K23" s="464"/>
      <c r="L23" s="464"/>
      <c r="M23" s="459"/>
      <c r="N23" s="459"/>
    </row>
    <row r="24" spans="2:14">
      <c r="B24" s="459"/>
      <c r="C24" s="464"/>
      <c r="D24" s="464"/>
      <c r="E24" s="459"/>
      <c r="F24" s="459"/>
      <c r="G24" s="464"/>
      <c r="H24" s="464"/>
      <c r="I24" s="464"/>
      <c r="J24" s="464"/>
      <c r="K24" s="464"/>
      <c r="L24" s="464"/>
      <c r="M24" s="459"/>
      <c r="N24" s="459"/>
    </row>
    <row r="25" spans="2:14">
      <c r="B25" s="459"/>
      <c r="C25" s="459"/>
      <c r="D25" s="459"/>
      <c r="E25" s="459"/>
      <c r="F25" s="459"/>
      <c r="G25" s="459"/>
      <c r="H25" s="459"/>
      <c r="I25" s="459"/>
      <c r="J25" s="459"/>
      <c r="K25" s="459"/>
      <c r="L25" s="459"/>
      <c r="M25" s="459"/>
      <c r="N25" s="459"/>
    </row>
  </sheetData>
  <sheetProtection algorithmName="SHA-512" hashValue="F1yFX7U2j0v5AhM0DTrPg41B4Erf+mD7hAqSZoMhcqAz24oF+PljYt3dOmZACPiPoEB/Cnl/UHUSVp4d673LDg==" saltValue="jd8xxG+Hs0WaJwOetsqjlg==" spinCount="100000" sheet="1" objects="1" scenarios="1"/>
  <mergeCells count="8">
    <mergeCell ref="H19:L19"/>
    <mergeCell ref="H20:L20"/>
    <mergeCell ref="H21:L21"/>
    <mergeCell ref="H17:L18"/>
    <mergeCell ref="C6:D6"/>
    <mergeCell ref="C8:D8"/>
    <mergeCell ref="G17:G18"/>
    <mergeCell ref="H16:L16"/>
  </mergeCells>
  <pageMargins left="0.25" right="0.25" top="0.75" bottom="0.75" header="0.3" footer="0.3"/>
  <pageSetup paperSize="9" orientation="portrait" horizontalDpi="0" verticalDpi="0" r:id="rId1"/>
  <headerFooter>
    <oddHeader>&amp;C&amp;K00B050Vulnerability Assessment Tool, Food Fraud Advisors 2019</oddHeader>
  </headerFooter>
  <drawing r:id="rId2"/>
  <picture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dimension ref="A1:M1004"/>
  <sheetViews>
    <sheetView zoomScaleNormal="100" workbookViewId="0"/>
  </sheetViews>
  <sheetFormatPr defaultColWidth="17.33203125" defaultRowHeight="15" customHeight="1"/>
  <cols>
    <col min="1" max="1" width="12.6640625" style="4" customWidth="1"/>
    <col min="2" max="23" width="14.44140625" style="4" customWidth="1"/>
    <col min="24" max="16384" width="17.33203125" style="4"/>
  </cols>
  <sheetData>
    <row r="1" spans="1:13" ht="15.75" customHeight="1">
      <c r="A1" s="4" t="s">
        <v>300</v>
      </c>
    </row>
    <row r="2" spans="1:13" ht="15.75" customHeight="1">
      <c r="A2" s="435" t="s">
        <v>299</v>
      </c>
    </row>
    <row r="3" spans="1:13" ht="15.75" customHeight="1">
      <c r="A3" s="436" t="s">
        <v>324</v>
      </c>
    </row>
    <row r="4" spans="1:13" ht="15.75" customHeight="1"/>
    <row r="5" spans="1:13" ht="15.75" customHeight="1"/>
    <row r="6" spans="1:13" ht="15.75" customHeight="1"/>
    <row r="7" spans="1:13" ht="15.75" customHeight="1"/>
    <row r="8" spans="1:13" ht="15.75" customHeight="1"/>
    <row r="9" spans="1:13" ht="15.75" customHeight="1"/>
    <row r="10" spans="1:13" ht="15.75" customHeight="1">
      <c r="A10" s="421"/>
      <c r="B10" s="423" t="s">
        <v>260</v>
      </c>
      <c r="C10" s="423" t="s">
        <v>184</v>
      </c>
      <c r="D10" s="424" t="str">
        <f>IF('Consequences worksheet'!F10="yes","This material is used as a characterising ingredient in one or more products.",IF('Consequences worksheet'!F10="no","This material is not used as a characterising ingredient in any products.",""))</f>
        <v/>
      </c>
      <c r="E10" s="424" t="str">
        <f>IF('Consequences worksheet'!F10="yes","This product contains characterising ingredients that are vulnerable to food fraud or is composed primarily of a material that is vulnerable to food fraud.",IF('Consequences worksheet'!F10="no","This product does not contain characterising ingredients that are vulnerable to food fraud, nor is it composed primarily of material that is vulnerable.",""))</f>
        <v/>
      </c>
    </row>
    <row r="11" spans="1:13" ht="15.75" customHeight="1">
      <c r="A11" s="421"/>
      <c r="B11" s="423" t="s">
        <v>295</v>
      </c>
      <c r="C11" s="423" t="s">
        <v>259</v>
      </c>
      <c r="D11" s="424" t="str">
        <f>IF('Consequences worksheet'!F11="yes","This material is subject to compositional standards or regulations.",IF('Consequences worksheet'!F11="no","There are no regulatory standards of composition that affect this material.",""))</f>
        <v/>
      </c>
      <c r="E11" s="424" t="str">
        <f>IF('Consequences worksheet'!F11="yes","This product is subject to compositional standards or regulations.",IF('Consequences worksheet'!F11="no","There are no regulatory standards of composition for this product.",""))</f>
        <v/>
      </c>
    </row>
    <row r="12" spans="1:13" ht="15.75" customHeight="1">
      <c r="A12" s="65"/>
      <c r="B12" s="425" t="s">
        <v>88</v>
      </c>
      <c r="C12" s="425" t="s">
        <v>200</v>
      </c>
      <c r="D12" s="424" t="str">
        <f>IF('Consequences worksheet'!F12="yes","This material is used in very small amounts in finished products (&lt;1%).",IF('Consequences worksheet'!F12="no","This is not a micro ingredient.",""))</f>
        <v/>
      </c>
      <c r="E12" s="424" t="str">
        <f>IF('Consequences worksheet'!F12="yes","Not applicable.",IF('Consequences worksheet'!F12="no","Not applicable.",""))</f>
        <v/>
      </c>
    </row>
    <row r="13" spans="1:13" ht="15.75" customHeight="1">
      <c r="A13" s="421"/>
      <c r="B13" s="423" t="s">
        <v>89</v>
      </c>
      <c r="C13" s="423" t="s">
        <v>174</v>
      </c>
      <c r="D13" s="424" t="str">
        <f>IF('Consequences worksheet'!F13="yes","This material is used in products that are marketed with country of origin claims.",IF('Consequences worksheet'!F13="no","There are no claims about country of origin that affect this material.",""))</f>
        <v/>
      </c>
      <c r="E13" s="424" t="str">
        <f>IF('Consequences worksheet'!F13="yes","This product is marketed with country of origin claims.",IF('Consequences worksheet'!F13="no","There are no claims about country of origin for this product.",""))</f>
        <v/>
      </c>
      <c r="F13" s="1"/>
      <c r="H13" s="336"/>
      <c r="I13" s="336"/>
      <c r="J13" s="336"/>
      <c r="K13" s="336"/>
      <c r="L13" s="336"/>
      <c r="M13" s="1"/>
    </row>
    <row r="14" spans="1:13" ht="15.75" customHeight="1">
      <c r="A14" s="421"/>
      <c r="B14" s="423" t="s">
        <v>176</v>
      </c>
      <c r="C14" s="423" t="s">
        <v>175</v>
      </c>
      <c r="D14" s="424" t="str">
        <f>IF('Consequences worksheet'!F14="yes","This material is used in products that are marketed with regional provenance claims and/or protected designated origin status.",IF('Consequences worksheet'!F14="no","There are no claims about regional provenance or protected desginated origin that affect this material.",""))</f>
        <v/>
      </c>
      <c r="E14" s="424" t="str">
        <f>IF('Consequences worksheet'!F14="yes","This product is marketed with regional provenance claims and/or has protected designated origin status.",IF('Consequences worksheet'!F14="no","There are no claims about regional provenance for this product, nor does it have protected designated origin status.",""))</f>
        <v/>
      </c>
      <c r="F14" s="1"/>
      <c r="G14" s="427"/>
      <c r="H14" s="427"/>
      <c r="I14" s="427"/>
      <c r="J14" s="427"/>
      <c r="K14" s="427"/>
      <c r="L14" s="427"/>
      <c r="M14" s="427"/>
    </row>
    <row r="15" spans="1:13" ht="15.75" customHeight="1">
      <c r="A15" s="421"/>
      <c r="B15" s="423" t="s">
        <v>105</v>
      </c>
      <c r="C15" s="423" t="s">
        <v>177</v>
      </c>
      <c r="D15" s="424" t="str">
        <f>IF('Consequences worksheet'!F15="yes","This material is used in products that are marketed with 'free-from' claims related to allergens or gluten.",IF('Consequences worksheet'!F15="no","This material is not used in products that have 'free-from' allergen claims.",""))</f>
        <v/>
      </c>
      <c r="E15" s="424" t="str">
        <f>IF('Consequences worksheet'!F15="yes","This product is marketed with 'free-from' claims related to allergens or gluten.",IF('Consequences worksheet'!F15="no","This product is not marketed with 'free-from' allergen claims.",""))</f>
        <v/>
      </c>
      <c r="F15" s="1"/>
      <c r="G15" s="427"/>
      <c r="H15" s="432" t="str">
        <f>IF(AND($H$25=1,$H$29=1),"X","")</f>
        <v>X</v>
      </c>
      <c r="I15" s="432" t="str">
        <f>IF(AND($H$25=2,$H$29=1),"X","")</f>
        <v/>
      </c>
      <c r="J15" s="432" t="str">
        <f>IF(AND($H$25=3,$H$29=1),"X","")</f>
        <v/>
      </c>
      <c r="K15" s="432" t="str">
        <f>IF(AND($H$25=4,$H$29=1),"X","")</f>
        <v/>
      </c>
      <c r="L15" s="432" t="str">
        <f>IF(AND($H$25=5,$H$29=1),"X","")</f>
        <v/>
      </c>
      <c r="M15" s="427"/>
    </row>
    <row r="16" spans="1:13" ht="15.75" customHeight="1">
      <c r="A16" s="421"/>
      <c r="B16" s="423" t="s">
        <v>90</v>
      </c>
      <c r="C16" s="423" t="s">
        <v>178</v>
      </c>
      <c r="D16" s="424" t="str">
        <f>IF('Consequences worksheet'!F16="yes","This material is used in products that are consumed primarily by vulnerable populations.",IF('Consequences worksheet'!F16="no","This material is not used in products that are primarily consumed by vulnerable populations.",""))</f>
        <v/>
      </c>
      <c r="E16" s="424" t="str">
        <f>IF('Consequences worksheet'!F16="yes","This product is consumed primarily by vulnerable populations.",IF('Consequences worksheet'!F16="no","This product is not for vulnerable populations.",""))</f>
        <v/>
      </c>
      <c r="F16" s="1"/>
      <c r="G16" s="427"/>
      <c r="H16" s="432" t="str">
        <f>IF(AND($H$25=1,$H$29=2),"X","")</f>
        <v/>
      </c>
      <c r="I16" s="432" t="str">
        <f>IF(AND($H$25=2,$H$29=2),"X","")</f>
        <v/>
      </c>
      <c r="J16" s="432" t="str">
        <f>IF(AND($H$25=3,$H$29=2),"X","")</f>
        <v/>
      </c>
      <c r="K16" s="432" t="str">
        <f>IF(AND($H$25=4,$H$29=2),"X","")</f>
        <v/>
      </c>
      <c r="L16" s="432" t="str">
        <f>IF(AND($H$25=5,$H$29=2),"X","")</f>
        <v/>
      </c>
      <c r="M16" s="427"/>
    </row>
    <row r="17" spans="1:13" ht="15.75" customHeight="1">
      <c r="A17" s="421"/>
      <c r="B17" s="423" t="s">
        <v>91</v>
      </c>
      <c r="C17" s="423" t="s">
        <v>179</v>
      </c>
      <c r="D17" s="424" t="str">
        <f>IF('Consequences worksheet'!F17="yes","This material is used in products designed for focussed consumption.",IF('Consequences worksheet'!F17="no","This material is not used in products for focussed consumption.",""))</f>
        <v/>
      </c>
      <c r="E17" s="424" t="str">
        <f>IF('Consequences worksheet'!F17="yes","This product is designed for focussed consumption.",IF('Consequences worksheet'!F17="no","This product is not subject to focussed consumption.",""))</f>
        <v/>
      </c>
      <c r="F17" s="1"/>
      <c r="G17" s="427"/>
      <c r="H17" s="432" t="str">
        <f>IF(AND($H$25=1,$H$29=3),"X","")</f>
        <v/>
      </c>
      <c r="I17" s="432" t="str">
        <f>IF(AND($H$25=2,$H$29=3),"X","")</f>
        <v/>
      </c>
      <c r="J17" s="432" t="str">
        <f>IF(AND($H$25=3,$H$29=3),"X","")</f>
        <v/>
      </c>
      <c r="K17" s="432" t="str">
        <f>IF(AND($H$25=4,$H$29=3),"X","")</f>
        <v/>
      </c>
      <c r="L17" s="432" t="str">
        <f>IF(AND($H$25=5,$H$29=3),"X","")</f>
        <v/>
      </c>
      <c r="M17" s="427"/>
    </row>
    <row r="18" spans="1:13" ht="15.75" customHeight="1">
      <c r="A18" s="421"/>
      <c r="B18" s="423" t="s">
        <v>103</v>
      </c>
      <c r="C18" s="423" t="s">
        <v>181</v>
      </c>
      <c r="D18" s="424" t="str">
        <f>IF('Consequences worksheet'!F18="yes","This material is nutritionally important to consumers.",IF('Consequences worksheet'!F18="no","This material makes no significant nutritional contributions.",""))</f>
        <v/>
      </c>
      <c r="E18" s="424" t="str">
        <f>IF('Consequences worksheet'!F18="yes","This product is nutritionally important to consumers.",IF('Consequences worksheet'!F18="no","This product makes no significant nutritional contributions.",""))</f>
        <v/>
      </c>
      <c r="F18" s="1"/>
      <c r="G18" s="427"/>
      <c r="H18" s="432" t="str">
        <f>IF(AND($H$25=1,$H$29=4),"X","")</f>
        <v/>
      </c>
      <c r="I18" s="432" t="str">
        <f>IF(AND($H$25=2,$H$29=4),"X","")</f>
        <v/>
      </c>
      <c r="J18" s="432" t="str">
        <f>IF(AND($H$25=3,$H$29=4),"X","")</f>
        <v/>
      </c>
      <c r="K18" s="432" t="str">
        <f>IF(AND($H$25=4,$H$29=4),"X","")</f>
        <v/>
      </c>
      <c r="L18" s="432" t="str">
        <f>IF(AND($H$25=5,$H$29=4),"X","")</f>
        <v/>
      </c>
      <c r="M18" s="427"/>
    </row>
    <row r="19" spans="1:13" ht="15.75" customHeight="1">
      <c r="A19" s="421"/>
      <c r="B19" s="423" t="s">
        <v>92</v>
      </c>
      <c r="C19" s="423" t="s">
        <v>180</v>
      </c>
      <c r="D19" s="424" t="str">
        <f>IF('Consequences worksheet'!F19="yes","This material is used in products with special criteria and/or claims.",IF('Consequences worksheet'!F19="no","This material is not used in products that have special criteria or claims such as halal, kosher, vegan.",""))</f>
        <v/>
      </c>
      <c r="E19" s="424" t="str">
        <f>IF('Consequences worksheet'!F19="yes","This product is marketed with special status and/or claims.",IF('Consequences worksheet'!F19="no","This product is not marketed with special status or claims such as halal, kosher, vegan.",""))</f>
        <v/>
      </c>
      <c r="F19" s="1"/>
      <c r="G19" s="427"/>
      <c r="H19" s="432" t="str">
        <f>IF(AND($H$25=1,$H$29=5),"X","")</f>
        <v/>
      </c>
      <c r="I19" s="432" t="str">
        <f>IF(AND($H$25=2,$H$29=5),"X","")</f>
        <v/>
      </c>
      <c r="J19" s="432" t="str">
        <f>IF(AND($H$25=3,$H$29=5),"X","")</f>
        <v/>
      </c>
      <c r="K19" s="432" t="str">
        <f>IF(AND($H$25=4,$H$29=5),"X","")</f>
        <v/>
      </c>
      <c r="L19" s="432" t="str">
        <f>IF(AND($H$25=5,$H$29=5),"X","")</f>
        <v/>
      </c>
      <c r="M19" s="427"/>
    </row>
    <row r="20" spans="1:13" ht="15.75" customHeight="1">
      <c r="A20" s="421"/>
      <c r="B20" s="425" t="s">
        <v>107</v>
      </c>
      <c r="C20" s="425" t="s">
        <v>182</v>
      </c>
      <c r="D20" s="424" t="str">
        <f>IF('Consequences worksheet'!F20="yes very expensive","This material is very expensive.",IF('Consequences worksheet'!F20="somewhat expensive","This material is somewhat expensive.",IF('Consequences worksheet'!F20="no","This material is not expensive.","")))</f>
        <v/>
      </c>
      <c r="E20" s="424" t="str">
        <f>IF('Consequences worksheet'!F20="yes very expensive","This product is very expensive.",IF('Consequences worksheet'!F20="somewhat expensive","This product is somewhat expensive.",IF('Consequences worksheet'!F20="no","This product is not expensive.","")))</f>
        <v/>
      </c>
      <c r="G20" s="427"/>
      <c r="H20" s="427"/>
      <c r="I20" s="427"/>
      <c r="J20" s="427"/>
      <c r="K20" s="427"/>
      <c r="L20" s="427"/>
      <c r="M20" s="427"/>
    </row>
    <row r="21" spans="1:13" ht="15.75" customHeight="1">
      <c r="A21" s="421"/>
      <c r="B21" s="423" t="s">
        <v>169</v>
      </c>
      <c r="C21" s="423" t="s">
        <v>169</v>
      </c>
      <c r="D21" s="424" t="str">
        <f>IF('Consequences worksheet'!F21="yes","Other economic impacts have been considered.",IF('Consequences worksheet'!F21="no","",""))</f>
        <v/>
      </c>
      <c r="E21" s="424" t="str">
        <f>IF('Consequences worksheet'!F21="yes","Other economic impacts have been considered.",IF('Consequences worksheet'!F21="no","",""))</f>
        <v/>
      </c>
      <c r="G21" s="427"/>
      <c r="H21" s="427"/>
      <c r="I21" s="427"/>
      <c r="J21" s="467"/>
      <c r="K21" s="427"/>
      <c r="L21" s="427"/>
      <c r="M21" s="427"/>
    </row>
    <row r="22" spans="1:13" ht="12.75" customHeight="1">
      <c r="A22" s="421"/>
      <c r="B22" s="422"/>
      <c r="F22" s="337"/>
      <c r="G22" s="338"/>
    </row>
    <row r="23" spans="1:13" ht="12.75" customHeight="1">
      <c r="A23" s="421"/>
      <c r="B23" s="373"/>
      <c r="F23" s="337"/>
      <c r="H23" s="433"/>
    </row>
    <row r="24" spans="1:13" ht="12.75" customHeight="1">
      <c r="A24" s="421"/>
      <c r="B24" s="373"/>
      <c r="F24" s="340"/>
      <c r="H24" s="433" t="str">
        <f>'Likelihood worksheet'!H45</f>
        <v>Very unlikely to be affected</v>
      </c>
      <c r="I24" s="433" t="str">
        <f>'Likelihood worksheet'!G45</f>
        <v>Very unlikely</v>
      </c>
    </row>
    <row r="25" spans="1:13" ht="12.75" customHeight="1">
      <c r="F25" s="337"/>
      <c r="H25" s="433">
        <f>IF(I24="Very unlikely",1,IF(I24="Unlikely",2,IF(I24="Fairly likely",3,IF(I24="Likely",4,IF(I24="Very likely/certain",5,"ERROR")))))</f>
        <v>1</v>
      </c>
    </row>
    <row r="26" spans="1:13" ht="12.75" customHeight="1">
      <c r="F26" s="337"/>
      <c r="G26" s="338"/>
      <c r="H26" s="427"/>
    </row>
    <row r="27" spans="1:13" ht="13.2">
      <c r="A27" s="642" t="s">
        <v>349</v>
      </c>
      <c r="B27" s="643"/>
      <c r="C27" s="643"/>
      <c r="D27" s="643"/>
      <c r="F27" s="337"/>
      <c r="H27" s="433"/>
    </row>
    <row r="28" spans="1:13" ht="13.8">
      <c r="A28" s="468" t="s">
        <v>348</v>
      </c>
      <c r="B28" s="427"/>
      <c r="C28" s="427"/>
      <c r="D28" s="427"/>
      <c r="F28" s="340"/>
      <c r="H28" s="427" t="str">
        <f>'Consequences worksheet'!G24</f>
        <v>Negligible consequences</v>
      </c>
    </row>
    <row r="29" spans="1:13" ht="13.8">
      <c r="A29" s="426" t="s">
        <v>293</v>
      </c>
      <c r="F29" s="337"/>
      <c r="H29" s="434">
        <f>IF(H28="Negligible consequences",1,IF(H28="Minor consequences",2,IF(H28="Moderate consequences",3,IF(H28="Significant consequences",4,IF(H28="Severe consequences",5,"ERROR")))))</f>
        <v>1</v>
      </c>
    </row>
    <row r="30" spans="1:13" ht="13.2">
      <c r="F30" s="342"/>
      <c r="G30" s="338"/>
      <c r="H30" s="341"/>
    </row>
    <row r="31" spans="1:13" ht="13.2">
      <c r="F31" s="337"/>
      <c r="G31" s="343"/>
      <c r="H31" s="344"/>
    </row>
    <row r="32" spans="1:13" ht="13.2">
      <c r="F32" s="342"/>
      <c r="G32" s="338"/>
      <c r="H32" s="338"/>
      <c r="I32" s="338"/>
      <c r="J32" s="338"/>
      <c r="K32" s="338"/>
      <c r="L32" s="338"/>
    </row>
    <row r="33" spans="6:12" ht="13.2">
      <c r="G33" s="427" t="s">
        <v>94</v>
      </c>
      <c r="H33" s="432" t="str">
        <f>IF(OR($H$15="X",$H$16="x",$H$17="x"),"green","not green")</f>
        <v>green</v>
      </c>
      <c r="I33" s="432" t="str">
        <f>IF(OR(I$15="X",I$16="x"),"green","not green")</f>
        <v>not green</v>
      </c>
      <c r="J33" s="432"/>
      <c r="K33" s="432"/>
      <c r="L33" s="432"/>
    </row>
    <row r="34" spans="6:12" ht="13.2">
      <c r="F34" s="342"/>
      <c r="G34" s="427" t="s">
        <v>95</v>
      </c>
      <c r="H34" s="432" t="str">
        <f>IF(OR($H$18="X",$H$19="x"),"yellow","not yellow")</f>
        <v>not yellow</v>
      </c>
      <c r="I34" s="432" t="str">
        <f>IF(OR(I$17="X",I$18="x"),"yellow","not yellow")</f>
        <v>not yellow</v>
      </c>
      <c r="J34" s="432" t="str">
        <f>IF(OR(J$15="X",J$16="X",J$17="x"),"yellow","not yellow")</f>
        <v>not yellow</v>
      </c>
      <c r="K34" s="432" t="str">
        <f>IF(OR(K$15="x",K$16="X"),"yellow","not yellow")</f>
        <v>not yellow</v>
      </c>
      <c r="L34" s="432"/>
    </row>
    <row r="35" spans="6:12" ht="13.2">
      <c r="F35" s="342"/>
      <c r="G35" s="427" t="s">
        <v>96</v>
      </c>
      <c r="H35" s="432"/>
      <c r="I35" s="432" t="str">
        <f>IF(I$19="X","red","not red")</f>
        <v>not red</v>
      </c>
      <c r="J35" s="432" t="str">
        <f>IF(OR(J$18="X",J$19="x"),"red","not red")</f>
        <v>not red</v>
      </c>
      <c r="K35" s="432" t="str">
        <f>IF(OR(K$17="x",K$18="X",K$19="x"),"red","not red")</f>
        <v>not red</v>
      </c>
      <c r="L35" s="432" t="str">
        <f>IF(OR(L$15="X",L$16="X",L$17="x",L$18="x",L$19="x"),"red","not red")</f>
        <v>not red</v>
      </c>
    </row>
    <row r="36" spans="6:12" ht="13.2">
      <c r="G36" s="427"/>
      <c r="H36" s="432"/>
      <c r="I36" s="432"/>
      <c r="J36" s="432"/>
      <c r="K36" s="432"/>
      <c r="L36" s="432"/>
    </row>
    <row r="37" spans="6:12" ht="13.2">
      <c r="H37" s="205"/>
      <c r="I37" s="205"/>
      <c r="J37" s="205"/>
      <c r="K37" s="205"/>
      <c r="L37" s="205"/>
    </row>
    <row r="38" spans="6:12" ht="13.2">
      <c r="G38" s="343"/>
      <c r="H38" s="428" t="str">
        <f>IF(COUNTIF(H33:L35,"red"),"High risk",IF(COUNTIF(H33:L35,"yellow"),"Medium risk",IF(COUNTIF(H33:L35,"green"),"Low risk","error")))</f>
        <v>Low risk</v>
      </c>
    </row>
    <row r="39" spans="6:12" ht="13.2"/>
    <row r="40" spans="6:12" ht="13.2"/>
    <row r="41" spans="6:12" ht="13.2">
      <c r="G41" s="345"/>
    </row>
    <row r="42" spans="6:12" ht="13.2"/>
    <row r="43" spans="6:12" ht="13.2"/>
    <row r="44" spans="6:12" ht="13.2">
      <c r="H44" s="429"/>
      <c r="I44" s="430"/>
      <c r="J44" s="427"/>
      <c r="K44" s="431"/>
      <c r="L44" s="353"/>
    </row>
    <row r="45" spans="6:12" ht="13.2">
      <c r="H45" s="429"/>
      <c r="I45" s="432" t="str">
        <f>IF(AND($H$51=0,$H$55=0),"X","")</f>
        <v/>
      </c>
      <c r="J45" s="432" t="str">
        <f>IF(AND($H$51=1,$H$55=0),"X","")</f>
        <v/>
      </c>
      <c r="K45" s="431"/>
      <c r="L45" s="353"/>
    </row>
    <row r="46" spans="6:12" ht="13.2">
      <c r="H46" s="429"/>
      <c r="I46" s="432" t="str">
        <f>IF(AND($H$51=0,$H$55=1),"X","")</f>
        <v/>
      </c>
      <c r="J46" s="432" t="str">
        <f>IF(AND($H$51=1,$H$55=1),"X","")</f>
        <v>X</v>
      </c>
      <c r="K46" s="431"/>
      <c r="L46" s="353"/>
    </row>
    <row r="47" spans="6:12" ht="13.2">
      <c r="H47" s="431"/>
      <c r="I47" s="431"/>
      <c r="J47" s="431"/>
      <c r="K47" s="431"/>
      <c r="L47" s="353"/>
    </row>
    <row r="48" spans="6:12" ht="13.2">
      <c r="H48" s="427"/>
    </row>
    <row r="49" spans="7:9" ht="13.2">
      <c r="G49" s="338"/>
      <c r="H49" s="427"/>
    </row>
    <row r="50" spans="7:9" ht="13.2">
      <c r="H50" s="433" t="str">
        <f>'Initial screening (optional)'!G14</f>
        <v>Relatively likely</v>
      </c>
    </row>
    <row r="51" spans="7:9" ht="13.2">
      <c r="H51" s="433">
        <f>IF('Initial screening (optional)'!G14="Relatively likely",1,0)</f>
        <v>1</v>
      </c>
      <c r="I51" s="339"/>
    </row>
    <row r="52" spans="7:9" ht="13.2">
      <c r="H52" s="433"/>
    </row>
    <row r="53" spans="7:9" ht="13.2">
      <c r="G53" s="338"/>
      <c r="H53" s="427"/>
    </row>
    <row r="54" spans="7:9" ht="13.2">
      <c r="H54" s="433" t="str">
        <f>'Initial screening (optional)'!G21</f>
        <v>Severe impact</v>
      </c>
    </row>
    <row r="55" spans="7:9" ht="13.2">
      <c r="H55" s="433">
        <f>IF('Initial screening (optional)'!G21="Severe impact",1,0)</f>
        <v>1</v>
      </c>
    </row>
    <row r="56" spans="7:9" ht="13.2">
      <c r="H56" s="434"/>
    </row>
    <row r="57" spans="7:9" ht="13.2"/>
    <row r="58" spans="7:9" ht="13.2"/>
    <row r="59" spans="7:9" ht="13.2"/>
    <row r="60" spans="7:9" ht="13.2"/>
    <row r="61" spans="7:9" ht="13.2"/>
    <row r="62" spans="7:9" ht="13.2"/>
    <row r="63" spans="7:9" ht="13.2"/>
    <row r="64" spans="7:9" ht="13.2"/>
    <row r="65" ht="13.2"/>
    <row r="66" ht="13.2"/>
    <row r="67" ht="13.2"/>
    <row r="68" ht="13.2"/>
    <row r="69" ht="13.2"/>
    <row r="70" ht="13.2"/>
    <row r="71" ht="13.2"/>
    <row r="72" ht="13.2"/>
    <row r="73" ht="13.2"/>
    <row r="74" ht="13.2"/>
    <row r="75" ht="13.2"/>
    <row r="76" ht="13.2"/>
    <row r="77" ht="13.2"/>
    <row r="78" ht="13.2"/>
    <row r="79" ht="13.2"/>
    <row r="80" ht="13.2"/>
    <row r="81" ht="13.2"/>
    <row r="82" ht="13.2"/>
    <row r="83" ht="13.2"/>
    <row r="84" ht="13.2"/>
    <row r="85" ht="13.2"/>
    <row r="86" ht="13.2"/>
    <row r="87" ht="13.2"/>
    <row r="88" ht="13.2"/>
    <row r="89" ht="13.2"/>
    <row r="90" ht="13.2"/>
    <row r="91" ht="13.2"/>
    <row r="92" ht="13.2"/>
    <row r="93" ht="13.2"/>
    <row r="94" ht="13.2"/>
    <row r="95" ht="13.2"/>
    <row r="96" ht="13.2"/>
    <row r="97" ht="13.2"/>
    <row r="98" ht="13.2"/>
    <row r="99" ht="13.2"/>
    <row r="100" ht="13.2"/>
    <row r="101" ht="13.2"/>
    <row r="102" ht="13.2"/>
    <row r="103" ht="13.2"/>
    <row r="104" ht="13.2"/>
    <row r="105" ht="13.2"/>
    <row r="106" ht="13.2"/>
    <row r="107" ht="13.2"/>
    <row r="108" ht="13.2"/>
    <row r="109" ht="13.2"/>
    <row r="110" ht="13.2"/>
    <row r="111" ht="13.2"/>
    <row r="112" ht="13.2"/>
    <row r="113" ht="13.2"/>
    <row r="114" ht="13.2"/>
    <row r="115" ht="13.2"/>
    <row r="116" ht="13.2"/>
    <row r="117" ht="13.2"/>
    <row r="118" ht="13.2"/>
    <row r="119" ht="13.2"/>
    <row r="120" ht="13.2"/>
    <row r="121" ht="13.2"/>
    <row r="122" ht="13.2"/>
    <row r="123" ht="13.2"/>
    <row r="124" ht="13.2"/>
    <row r="125" ht="13.2"/>
    <row r="126" ht="13.2"/>
    <row r="127" ht="13.2"/>
    <row r="128" ht="13.2"/>
    <row r="129" ht="13.2"/>
    <row r="130" ht="13.2"/>
    <row r="131" ht="13.2"/>
    <row r="132" ht="13.2"/>
    <row r="133" ht="13.2"/>
    <row r="134" ht="13.2"/>
    <row r="135" ht="13.2"/>
    <row r="136" ht="13.2"/>
    <row r="137" ht="13.2"/>
    <row r="138" ht="13.2"/>
    <row r="139" ht="13.2"/>
    <row r="140" ht="13.2"/>
    <row r="141" ht="13.2"/>
    <row r="142" ht="13.2"/>
    <row r="143" ht="13.2"/>
    <row r="144" ht="13.2"/>
    <row r="145" ht="13.2"/>
    <row r="146" ht="13.2"/>
    <row r="147" ht="13.2"/>
    <row r="148" ht="13.2"/>
    <row r="149" ht="13.2"/>
    <row r="150" ht="13.2"/>
    <row r="151" ht="13.2"/>
    <row r="152" ht="13.2"/>
    <row r="153" ht="13.2"/>
    <row r="154" ht="13.2"/>
    <row r="155" ht="13.2"/>
    <row r="156" ht="13.2"/>
    <row r="157" ht="13.2"/>
    <row r="158" ht="13.2"/>
    <row r="159" ht="13.2"/>
    <row r="160" ht="13.2"/>
    <row r="161" ht="13.2"/>
    <row r="162" ht="13.2"/>
    <row r="163" ht="13.2"/>
    <row r="164" ht="13.2"/>
    <row r="165" ht="13.2"/>
    <row r="166" ht="13.2"/>
    <row r="167" ht="13.2"/>
    <row r="168" ht="13.2"/>
    <row r="169" ht="13.2"/>
    <row r="170" ht="13.2"/>
    <row r="171" ht="13.2"/>
    <row r="172" ht="13.2"/>
    <row r="173" ht="13.2"/>
    <row r="174" ht="13.2"/>
    <row r="175" ht="13.2"/>
    <row r="176" ht="13.2"/>
    <row r="177" ht="13.2"/>
    <row r="178" ht="13.2"/>
    <row r="179" ht="13.2"/>
    <row r="180" ht="13.2"/>
    <row r="181" ht="13.2"/>
    <row r="182" ht="13.2"/>
    <row r="183" ht="13.2"/>
    <row r="184" ht="13.2"/>
    <row r="185" ht="13.2"/>
    <row r="186" ht="13.2"/>
    <row r="187" ht="13.2"/>
    <row r="188" ht="13.2"/>
    <row r="189" ht="13.2"/>
    <row r="190" ht="13.2"/>
    <row r="191" ht="13.2"/>
    <row r="192" ht="13.2"/>
    <row r="193" ht="13.2"/>
    <row r="194" ht="13.2"/>
    <row r="195" ht="13.2"/>
    <row r="196" ht="13.2"/>
    <row r="197" ht="13.2"/>
    <row r="198" ht="13.2"/>
    <row r="199" ht="13.2"/>
    <row r="200" ht="13.2"/>
    <row r="201" ht="13.2"/>
    <row r="202" ht="13.2"/>
    <row r="203" ht="13.2"/>
    <row r="204" ht="13.2"/>
    <row r="205" ht="13.2"/>
    <row r="206" ht="13.2"/>
    <row r="207" ht="13.2"/>
    <row r="208" ht="13.2"/>
    <row r="209" ht="13.2"/>
    <row r="210" ht="13.2"/>
    <row r="211" ht="13.2"/>
    <row r="212" ht="13.2"/>
    <row r="213" ht="13.2"/>
    <row r="214" ht="13.2"/>
    <row r="215" ht="13.2"/>
    <row r="216" ht="13.2"/>
    <row r="217" ht="13.2"/>
    <row r="218" ht="13.2"/>
    <row r="219" ht="13.2"/>
    <row r="220" ht="13.2"/>
    <row r="221" ht="13.2"/>
    <row r="222" ht="13.2"/>
    <row r="223" ht="13.2"/>
    <row r="224" ht="13.2"/>
    <row r="225" ht="13.2"/>
    <row r="226" ht="13.2"/>
    <row r="227" ht="13.2"/>
    <row r="228" ht="13.2"/>
    <row r="229" ht="13.2"/>
    <row r="230" ht="13.2"/>
    <row r="231" ht="13.2"/>
    <row r="232" ht="13.2"/>
    <row r="233" ht="13.2"/>
    <row r="234" ht="13.2"/>
    <row r="235" ht="13.2"/>
    <row r="236" ht="13.2"/>
    <row r="237" ht="13.2"/>
    <row r="238" ht="13.2"/>
    <row r="239" ht="13.2"/>
    <row r="240" ht="13.2"/>
    <row r="241" ht="13.2"/>
    <row r="242" ht="13.2"/>
    <row r="243" ht="13.2"/>
    <row r="244" ht="13.2"/>
    <row r="245" ht="13.2"/>
    <row r="246" ht="13.2"/>
    <row r="247" ht="13.2"/>
    <row r="248" ht="13.2"/>
    <row r="249" ht="13.2"/>
    <row r="250" ht="13.2"/>
    <row r="251" ht="13.2"/>
    <row r="252" ht="13.2"/>
    <row r="253" ht="13.2"/>
    <row r="254" ht="13.2"/>
    <row r="255" ht="13.2"/>
    <row r="256" ht="13.2"/>
    <row r="257" ht="13.2"/>
    <row r="258" ht="13.2"/>
    <row r="259" ht="13.2"/>
    <row r="260" ht="13.2"/>
    <row r="261" ht="13.2"/>
    <row r="262" ht="13.2"/>
    <row r="263" ht="13.2"/>
    <row r="264" ht="13.2"/>
    <row r="265" ht="13.2"/>
    <row r="266" ht="13.2"/>
    <row r="267" ht="13.2"/>
    <row r="268" ht="13.2"/>
    <row r="269" ht="13.2"/>
    <row r="270" ht="13.2"/>
    <row r="271" ht="13.2"/>
    <row r="272" ht="13.2"/>
    <row r="273" ht="13.2"/>
    <row r="274" ht="13.2"/>
    <row r="275" ht="13.2"/>
    <row r="276" ht="13.2"/>
    <row r="277" ht="13.2"/>
    <row r="278" ht="13.2"/>
    <row r="279" ht="13.2"/>
    <row r="280" ht="13.2"/>
    <row r="281" ht="13.2"/>
    <row r="282" ht="13.2"/>
    <row r="283" ht="13.2"/>
    <row r="284" ht="13.2"/>
    <row r="285" ht="13.2"/>
    <row r="286" ht="13.2"/>
    <row r="287" ht="13.2"/>
    <row r="288" ht="13.2"/>
    <row r="289" ht="13.2"/>
    <row r="290" ht="13.2"/>
    <row r="291" ht="13.2"/>
    <row r="292" ht="13.2"/>
    <row r="293" ht="13.2"/>
    <row r="294" ht="13.2"/>
    <row r="295" ht="13.2"/>
    <row r="296" ht="13.2"/>
    <row r="297" ht="13.2"/>
    <row r="298" ht="13.2"/>
    <row r="299" ht="13.2"/>
    <row r="300" ht="13.2"/>
    <row r="301" ht="13.2"/>
    <row r="302" ht="13.2"/>
    <row r="303" ht="13.2"/>
    <row r="304" ht="13.2"/>
    <row r="305" ht="13.2"/>
    <row r="306" ht="13.2"/>
    <row r="307" ht="13.2"/>
    <row r="308" ht="13.2"/>
    <row r="309" ht="13.2"/>
    <row r="310" ht="13.2"/>
    <row r="311" ht="13.2"/>
    <row r="312" ht="13.2"/>
    <row r="313" ht="13.2"/>
    <row r="314" ht="13.2"/>
    <row r="315" ht="13.2"/>
    <row r="316" ht="13.2"/>
    <row r="317" ht="13.2"/>
    <row r="318" ht="13.2"/>
    <row r="319" ht="13.2"/>
    <row r="320" ht="13.2"/>
    <row r="321" ht="13.2"/>
    <row r="322" ht="13.2"/>
    <row r="323" ht="13.2"/>
    <row r="324" ht="13.2"/>
    <row r="325" ht="13.2"/>
    <row r="326" ht="13.2"/>
    <row r="327" ht="13.2"/>
    <row r="328" ht="13.2"/>
    <row r="329" ht="13.2"/>
    <row r="330" ht="13.2"/>
    <row r="331" ht="13.2"/>
    <row r="332" ht="13.2"/>
    <row r="333" ht="13.2"/>
    <row r="334" ht="13.2"/>
    <row r="335" ht="13.2"/>
    <row r="336" ht="13.2"/>
    <row r="337" ht="13.2"/>
    <row r="338" ht="13.2"/>
    <row r="339" ht="13.2"/>
    <row r="340" ht="13.2"/>
    <row r="341" ht="13.2"/>
    <row r="342" ht="13.2"/>
    <row r="343" ht="13.2"/>
    <row r="344" ht="13.2"/>
    <row r="345" ht="13.2"/>
    <row r="346" ht="13.2"/>
    <row r="347" ht="13.2"/>
    <row r="348" ht="13.2"/>
    <row r="349" ht="13.2"/>
    <row r="350" ht="13.2"/>
    <row r="351" ht="13.2"/>
    <row r="352" ht="13.2"/>
    <row r="353" ht="13.2"/>
    <row r="354" ht="13.2"/>
    <row r="355" ht="13.2"/>
    <row r="356" ht="13.2"/>
    <row r="357" ht="13.2"/>
    <row r="358" ht="13.2"/>
    <row r="359" ht="13.2"/>
    <row r="360" ht="13.2"/>
    <row r="361" ht="13.2"/>
    <row r="362" ht="13.2"/>
    <row r="363" ht="13.2"/>
    <row r="364" ht="13.2"/>
    <row r="365" ht="13.2"/>
    <row r="366" ht="13.2"/>
    <row r="367" ht="13.2"/>
    <row r="368" ht="13.2"/>
    <row r="369" ht="13.2"/>
    <row r="370" ht="13.2"/>
    <row r="371" ht="13.2"/>
    <row r="372" ht="13.2"/>
    <row r="373" ht="13.2"/>
    <row r="374" ht="13.2"/>
    <row r="375" ht="13.2"/>
    <row r="376" ht="13.2"/>
    <row r="377" ht="13.2"/>
    <row r="378" ht="13.2"/>
    <row r="379" ht="13.2"/>
    <row r="380" ht="13.2"/>
    <row r="381" ht="13.2"/>
    <row r="382" ht="13.2"/>
    <row r="383" ht="13.2"/>
    <row r="384" ht="13.2"/>
    <row r="385" ht="13.2"/>
    <row r="386" ht="13.2"/>
    <row r="387" ht="13.2"/>
    <row r="388" ht="13.2"/>
    <row r="389" ht="13.2"/>
    <row r="390" ht="13.2"/>
    <row r="391" ht="13.2"/>
    <row r="392" ht="13.2"/>
    <row r="393" ht="13.2"/>
    <row r="394" ht="13.2"/>
    <row r="395" ht="13.2"/>
    <row r="396" ht="13.2"/>
    <row r="397" ht="13.2"/>
    <row r="398" ht="13.2"/>
    <row r="399" ht="13.2"/>
    <row r="400" ht="13.2"/>
    <row r="401" ht="13.2"/>
    <row r="402" ht="13.2"/>
    <row r="403" ht="13.2"/>
    <row r="404" ht="13.2"/>
    <row r="405" ht="13.2"/>
    <row r="406" ht="13.2"/>
    <row r="407" ht="13.2"/>
    <row r="408" ht="13.2"/>
    <row r="409" ht="13.2"/>
    <row r="410" ht="13.2"/>
    <row r="411" ht="13.2"/>
    <row r="412" ht="13.2"/>
    <row r="413" ht="13.2"/>
    <row r="414" ht="13.2"/>
    <row r="415" ht="13.2"/>
    <row r="416" ht="13.2"/>
    <row r="417" ht="13.2"/>
    <row r="418" ht="13.2"/>
    <row r="419" ht="13.2"/>
    <row r="420" ht="13.2"/>
    <row r="421" ht="13.2"/>
    <row r="422" ht="13.2"/>
    <row r="423" ht="13.2"/>
    <row r="424" ht="13.2"/>
    <row r="425" ht="13.2"/>
    <row r="426" ht="13.2"/>
    <row r="427" ht="13.2"/>
    <row r="428" ht="13.2"/>
    <row r="429" ht="13.2"/>
    <row r="430" ht="13.2"/>
    <row r="431" ht="13.2"/>
    <row r="432" ht="13.2"/>
    <row r="433" ht="13.2"/>
    <row r="434" ht="13.2"/>
    <row r="435" ht="13.2"/>
    <row r="436" ht="13.2"/>
    <row r="437" ht="13.2"/>
    <row r="438" ht="13.2"/>
    <row r="439" ht="13.2"/>
    <row r="440" ht="13.2"/>
    <row r="441" ht="13.2"/>
    <row r="442" ht="13.2"/>
    <row r="443" ht="13.2"/>
    <row r="444" ht="13.2"/>
    <row r="445" ht="13.2"/>
    <row r="446" ht="13.2"/>
    <row r="447" ht="13.2"/>
    <row r="448" ht="13.2"/>
    <row r="449" ht="13.2"/>
    <row r="450" ht="13.2"/>
    <row r="451" ht="13.2"/>
    <row r="452" ht="13.2"/>
    <row r="453" ht="13.2"/>
    <row r="454" ht="13.2"/>
    <row r="455" ht="13.2"/>
    <row r="456" ht="13.2"/>
    <row r="457" ht="13.2"/>
    <row r="458" ht="13.2"/>
    <row r="459" ht="13.2"/>
    <row r="460" ht="13.2"/>
    <row r="461" ht="13.2"/>
    <row r="462" ht="13.2"/>
    <row r="463" ht="13.2"/>
    <row r="464" ht="13.2"/>
    <row r="465" ht="13.2"/>
    <row r="466" ht="13.2"/>
    <row r="467" ht="13.2"/>
    <row r="468" ht="13.2"/>
    <row r="469" ht="13.2"/>
    <row r="470" ht="13.2"/>
    <row r="471" ht="13.2"/>
    <row r="472" ht="13.2"/>
    <row r="473" ht="13.2"/>
    <row r="474" ht="13.2"/>
    <row r="475" ht="13.2"/>
    <row r="476" ht="13.2"/>
    <row r="477" ht="13.2"/>
    <row r="478" ht="13.2"/>
    <row r="479" ht="13.2"/>
    <row r="480" ht="13.2"/>
    <row r="481" ht="13.2"/>
    <row r="482" ht="13.2"/>
    <row r="483" ht="13.2"/>
    <row r="484" ht="13.2"/>
    <row r="485" ht="13.2"/>
    <row r="486" ht="13.2"/>
    <row r="487" ht="13.2"/>
    <row r="488" ht="13.2"/>
    <row r="489" ht="13.2"/>
    <row r="490" ht="13.2"/>
    <row r="491" ht="13.2"/>
    <row r="492" ht="13.2"/>
    <row r="493" ht="13.2"/>
    <row r="494" ht="13.2"/>
    <row r="495" ht="13.2"/>
    <row r="496" ht="13.2"/>
    <row r="497" ht="13.2"/>
    <row r="498" ht="13.2"/>
    <row r="499" ht="13.2"/>
    <row r="500" ht="13.2"/>
    <row r="501" ht="13.2"/>
    <row r="502" ht="13.2"/>
    <row r="503" ht="13.2"/>
    <row r="504" ht="13.2"/>
    <row r="505" ht="13.2"/>
    <row r="506" ht="13.2"/>
    <row r="507" ht="13.2"/>
    <row r="508" ht="13.2"/>
    <row r="509" ht="13.2"/>
    <row r="510" ht="13.2"/>
    <row r="511" ht="13.2"/>
    <row r="512" ht="13.2"/>
    <row r="513" ht="13.2"/>
    <row r="514" ht="13.2"/>
    <row r="515" ht="13.2"/>
    <row r="516" ht="13.2"/>
    <row r="517" ht="13.2"/>
    <row r="518" ht="13.2"/>
    <row r="519" ht="13.2"/>
    <row r="520" ht="13.2"/>
    <row r="521" ht="13.2"/>
    <row r="522" ht="13.2"/>
    <row r="523" ht="13.2"/>
    <row r="524" ht="13.2"/>
    <row r="525" ht="13.2"/>
    <row r="526" ht="13.2"/>
    <row r="527" ht="13.2"/>
    <row r="528" ht="13.2"/>
    <row r="529" ht="13.2"/>
    <row r="530" ht="13.2"/>
    <row r="531" ht="13.2"/>
    <row r="532" ht="13.2"/>
    <row r="533" ht="13.2"/>
    <row r="534" ht="13.2"/>
    <row r="535" ht="13.2"/>
    <row r="536" ht="13.2"/>
    <row r="537" ht="13.2"/>
    <row r="538" ht="13.2"/>
    <row r="539" ht="13.2"/>
    <row r="540" ht="13.2"/>
    <row r="541" ht="13.2"/>
    <row r="542" ht="13.2"/>
    <row r="543" ht="13.2"/>
    <row r="544" ht="13.2"/>
    <row r="545" ht="13.2"/>
    <row r="546" ht="13.2"/>
    <row r="547" ht="13.2"/>
    <row r="548" ht="13.2"/>
    <row r="549" ht="13.2"/>
    <row r="550" ht="13.2"/>
    <row r="551" ht="13.2"/>
    <row r="552" ht="13.2"/>
    <row r="553" ht="13.2"/>
    <row r="554" ht="13.2"/>
    <row r="555" ht="13.2"/>
    <row r="556" ht="13.2"/>
    <row r="557" ht="13.2"/>
    <row r="558" ht="13.2"/>
    <row r="559" ht="13.2"/>
    <row r="560" ht="13.2"/>
    <row r="561" ht="13.2"/>
    <row r="562" ht="13.2"/>
    <row r="563" ht="13.2"/>
    <row r="564" ht="13.2"/>
    <row r="565" ht="13.2"/>
    <row r="566" ht="13.2"/>
    <row r="567" ht="13.2"/>
    <row r="568" ht="13.2"/>
    <row r="569" ht="13.2"/>
    <row r="570" ht="13.2"/>
    <row r="571" ht="13.2"/>
    <row r="572" ht="13.2"/>
    <row r="573" ht="13.2"/>
    <row r="574" ht="13.2"/>
    <row r="575" ht="13.2"/>
    <row r="576" ht="13.2"/>
    <row r="577" ht="13.2"/>
    <row r="578" ht="13.2"/>
    <row r="579" ht="13.2"/>
    <row r="580" ht="13.2"/>
    <row r="581" ht="13.2"/>
    <row r="582" ht="13.2"/>
    <row r="583" ht="13.2"/>
    <row r="584" ht="13.2"/>
    <row r="585" ht="13.2"/>
    <row r="586" ht="13.2"/>
    <row r="587" ht="13.2"/>
    <row r="588" ht="13.2"/>
    <row r="589" ht="13.2"/>
    <row r="590" ht="13.2"/>
    <row r="591" ht="13.2"/>
    <row r="592" ht="13.2"/>
    <row r="593" ht="13.2"/>
    <row r="594" ht="13.2"/>
    <row r="595" ht="13.2"/>
    <row r="596" ht="13.2"/>
    <row r="597" ht="13.2"/>
    <row r="598" ht="13.2"/>
    <row r="599" ht="13.2"/>
    <row r="600" ht="13.2"/>
    <row r="601" ht="13.2"/>
    <row r="602" ht="13.2"/>
    <row r="603" ht="13.2"/>
    <row r="604" ht="13.2"/>
    <row r="605" ht="13.2"/>
    <row r="606" ht="13.2"/>
    <row r="607" ht="13.2"/>
    <row r="608" ht="13.2"/>
    <row r="609" ht="13.2"/>
    <row r="610" ht="13.2"/>
    <row r="611" ht="13.2"/>
    <row r="612" ht="13.2"/>
    <row r="613" ht="13.2"/>
    <row r="614" ht="13.2"/>
    <row r="615" ht="13.2"/>
    <row r="616" ht="13.2"/>
    <row r="617" ht="13.2"/>
    <row r="618" ht="13.2"/>
    <row r="619" ht="13.2"/>
    <row r="620" ht="13.2"/>
    <row r="621" ht="13.2"/>
    <row r="622" ht="13.2"/>
    <row r="623" ht="13.2"/>
    <row r="624" ht="13.2"/>
    <row r="625" ht="13.2"/>
    <row r="626" ht="13.2"/>
    <row r="627" ht="13.2"/>
    <row r="628" ht="13.2"/>
    <row r="629" ht="13.2"/>
    <row r="630" ht="13.2"/>
    <row r="631" ht="13.2"/>
    <row r="632" ht="13.2"/>
    <row r="633" ht="13.2"/>
    <row r="634" ht="13.2"/>
    <row r="635" ht="13.2"/>
    <row r="636" ht="13.2"/>
    <row r="637" ht="13.2"/>
    <row r="638" ht="13.2"/>
    <row r="639" ht="13.2"/>
    <row r="640" ht="13.2"/>
    <row r="641" ht="13.2"/>
    <row r="642" ht="13.2"/>
    <row r="643" ht="13.2"/>
    <row r="644" ht="13.2"/>
    <row r="645" ht="13.2"/>
    <row r="646" ht="13.2"/>
    <row r="647" ht="13.2"/>
    <row r="648" ht="13.2"/>
    <row r="649" ht="13.2"/>
    <row r="650" ht="13.2"/>
    <row r="651" ht="13.2"/>
    <row r="652" ht="13.2"/>
    <row r="653" ht="13.2"/>
    <row r="654" ht="13.2"/>
    <row r="655" ht="13.2"/>
    <row r="656" ht="13.2"/>
    <row r="657" ht="13.2"/>
    <row r="658" ht="13.2"/>
    <row r="659" ht="13.2"/>
    <row r="660" ht="13.2"/>
    <row r="661" ht="13.2"/>
    <row r="662" ht="13.2"/>
    <row r="663" ht="13.2"/>
    <row r="664" ht="13.2"/>
    <row r="665" ht="13.2"/>
    <row r="666" ht="13.2"/>
    <row r="667" ht="13.2"/>
    <row r="668" ht="13.2"/>
    <row r="669" ht="13.2"/>
    <row r="670" ht="13.2"/>
    <row r="671" ht="13.2"/>
    <row r="672" ht="13.2"/>
    <row r="673" ht="13.2"/>
    <row r="674" ht="13.2"/>
    <row r="675" ht="13.2"/>
    <row r="676" ht="13.2"/>
    <row r="677" ht="13.2"/>
    <row r="678" ht="13.2"/>
    <row r="679" ht="13.2"/>
    <row r="680" ht="13.2"/>
    <row r="681" ht="13.2"/>
    <row r="682" ht="13.2"/>
    <row r="683" ht="13.2"/>
    <row r="684" ht="13.2"/>
    <row r="685" ht="13.2"/>
    <row r="686" ht="13.2"/>
    <row r="687" ht="13.2"/>
    <row r="688" ht="13.2"/>
    <row r="689" ht="13.2"/>
    <row r="690" ht="13.2"/>
    <row r="691" ht="13.2"/>
    <row r="692" ht="13.2"/>
    <row r="693" ht="13.2"/>
    <row r="694" ht="13.2"/>
    <row r="695" ht="13.2"/>
    <row r="696" ht="13.2"/>
    <row r="697" ht="13.2"/>
    <row r="698" ht="13.2"/>
    <row r="699" ht="13.2"/>
    <row r="700" ht="13.2"/>
    <row r="701" ht="13.2"/>
    <row r="702" ht="13.2"/>
    <row r="703" ht="13.2"/>
    <row r="704" ht="13.2"/>
    <row r="705" ht="13.2"/>
    <row r="706" ht="13.2"/>
    <row r="707" ht="13.2"/>
    <row r="708" ht="13.2"/>
    <row r="709" ht="13.2"/>
    <row r="710" ht="13.2"/>
    <row r="711" ht="13.2"/>
    <row r="712" ht="13.2"/>
    <row r="713" ht="13.2"/>
    <row r="714" ht="13.2"/>
    <row r="715" ht="13.2"/>
    <row r="716" ht="13.2"/>
    <row r="717" ht="13.2"/>
    <row r="718" ht="13.2"/>
    <row r="719" ht="13.2"/>
    <row r="720" ht="13.2"/>
    <row r="721" ht="13.2"/>
    <row r="722" ht="13.2"/>
    <row r="723" ht="13.2"/>
    <row r="724" ht="13.2"/>
    <row r="725" ht="13.2"/>
    <row r="726" ht="13.2"/>
    <row r="727" ht="13.2"/>
    <row r="728" ht="13.2"/>
    <row r="729" ht="13.2"/>
    <row r="730" ht="13.2"/>
    <row r="731" ht="13.2"/>
    <row r="732" ht="13.2"/>
    <row r="733" ht="13.2"/>
    <row r="734" ht="13.2"/>
    <row r="735" ht="13.2"/>
    <row r="736" ht="13.2"/>
    <row r="737" ht="13.2"/>
    <row r="738" ht="13.2"/>
    <row r="739" ht="13.2"/>
    <row r="740" ht="13.2"/>
    <row r="741" ht="13.2"/>
    <row r="742" ht="13.2"/>
    <row r="743" ht="13.2"/>
    <row r="744" ht="13.2"/>
    <row r="745" ht="13.2"/>
    <row r="746" ht="13.2"/>
    <row r="747" ht="13.2"/>
    <row r="748" ht="13.2"/>
    <row r="749" ht="13.2"/>
    <row r="750" ht="13.2"/>
    <row r="751" ht="13.2"/>
    <row r="752" ht="13.2"/>
    <row r="753" ht="13.2"/>
    <row r="754" ht="13.2"/>
    <row r="755" ht="13.2"/>
    <row r="756" ht="13.2"/>
    <row r="757" ht="13.2"/>
    <row r="758" ht="13.2"/>
    <row r="759" ht="13.2"/>
    <row r="760" ht="13.2"/>
    <row r="761" ht="13.2"/>
    <row r="762" ht="13.2"/>
    <row r="763" ht="13.2"/>
    <row r="764" ht="13.2"/>
    <row r="765" ht="13.2"/>
    <row r="766" ht="13.2"/>
    <row r="767" ht="13.2"/>
    <row r="768" ht="13.2"/>
    <row r="769" ht="13.2"/>
    <row r="770" ht="13.2"/>
    <row r="771" ht="13.2"/>
    <row r="772" ht="13.2"/>
    <row r="773" ht="13.2"/>
    <row r="774" ht="13.2"/>
    <row r="775" ht="13.2"/>
    <row r="776" ht="13.2"/>
    <row r="777" ht="13.2"/>
    <row r="778" ht="13.2"/>
    <row r="779" ht="13.2"/>
    <row r="780" ht="13.2"/>
    <row r="781" ht="13.2"/>
    <row r="782" ht="13.2"/>
    <row r="783" ht="13.2"/>
    <row r="784" ht="13.2"/>
    <row r="785" ht="13.2"/>
    <row r="786" ht="13.2"/>
    <row r="787" ht="13.2"/>
    <row r="788" ht="13.2"/>
    <row r="789" ht="13.2"/>
    <row r="790" ht="13.2"/>
    <row r="791" ht="13.2"/>
    <row r="792" ht="13.2"/>
    <row r="793" ht="13.2"/>
    <row r="794" ht="13.2"/>
    <row r="795" ht="13.2"/>
    <row r="796" ht="13.2"/>
    <row r="797" ht="13.2"/>
    <row r="798" ht="13.2"/>
    <row r="799" ht="13.2"/>
    <row r="800" ht="13.2"/>
    <row r="801" ht="13.2"/>
    <row r="802" ht="13.2"/>
    <row r="803" ht="13.2"/>
    <row r="804" ht="13.2"/>
    <row r="805" ht="13.2"/>
    <row r="806" ht="13.2"/>
    <row r="807" ht="13.2"/>
    <row r="808" ht="13.2"/>
    <row r="809" ht="13.2"/>
    <row r="810" ht="13.2"/>
    <row r="811" ht="13.2"/>
    <row r="812" ht="13.2"/>
    <row r="813" ht="13.2"/>
    <row r="814" ht="13.2"/>
    <row r="815" ht="13.2"/>
    <row r="816" ht="13.2"/>
    <row r="817" ht="13.2"/>
    <row r="818" ht="13.2"/>
    <row r="819" ht="13.2"/>
    <row r="820" ht="13.2"/>
    <row r="821" ht="13.2"/>
    <row r="822" ht="13.2"/>
    <row r="823" ht="13.2"/>
    <row r="824" ht="13.2"/>
    <row r="825" ht="13.2"/>
    <row r="826" ht="13.2"/>
    <row r="827" ht="13.2"/>
    <row r="828" ht="13.2"/>
    <row r="829" ht="13.2"/>
    <row r="830" ht="13.2"/>
    <row r="831" ht="13.2"/>
    <row r="832" ht="13.2"/>
    <row r="833" ht="13.2"/>
    <row r="834" ht="13.2"/>
    <row r="835" ht="13.2"/>
    <row r="836" ht="13.2"/>
    <row r="837" ht="13.2"/>
    <row r="838" ht="13.2"/>
    <row r="839" ht="13.2"/>
    <row r="840" ht="13.2"/>
    <row r="841" ht="13.2"/>
    <row r="842" ht="13.2"/>
    <row r="843" ht="13.2"/>
    <row r="844" ht="13.2"/>
    <row r="845" ht="13.2"/>
    <row r="846" ht="13.2"/>
    <row r="847" ht="13.2"/>
    <row r="848" ht="13.2"/>
    <row r="849" ht="13.2"/>
    <row r="850" ht="13.2"/>
    <row r="851" ht="13.2"/>
    <row r="852" ht="13.2"/>
    <row r="853" ht="13.2"/>
    <row r="854" ht="13.2"/>
    <row r="855" ht="13.2"/>
    <row r="856" ht="13.2"/>
    <row r="857" ht="13.2"/>
    <row r="858" ht="13.2"/>
    <row r="859" ht="13.2"/>
    <row r="860" ht="13.2"/>
    <row r="861" ht="13.2"/>
    <row r="862" ht="13.2"/>
    <row r="863" ht="13.2"/>
    <row r="864" ht="13.2"/>
    <row r="865" ht="13.2"/>
    <row r="866" ht="13.2"/>
    <row r="867" ht="13.2"/>
    <row r="868" ht="13.2"/>
    <row r="869" ht="13.2"/>
    <row r="870" ht="13.2"/>
    <row r="871" ht="13.2"/>
    <row r="872" ht="13.2"/>
    <row r="873" ht="13.2"/>
    <row r="874" ht="13.2"/>
    <row r="875" ht="13.2"/>
    <row r="876" ht="13.2"/>
    <row r="877" ht="13.2"/>
    <row r="878" ht="13.2"/>
    <row r="879" ht="13.2"/>
    <row r="880" ht="13.2"/>
    <row r="881" ht="13.2"/>
    <row r="882" ht="13.2"/>
    <row r="883" ht="13.2"/>
    <row r="884" ht="13.2"/>
    <row r="885" ht="13.2"/>
    <row r="886" ht="13.2"/>
    <row r="887" ht="13.2"/>
    <row r="888" ht="13.2"/>
    <row r="889" ht="13.2"/>
    <row r="890" ht="13.2"/>
    <row r="891" ht="13.2"/>
    <row r="892" ht="13.2"/>
    <row r="893" ht="13.2"/>
    <row r="894" ht="13.2"/>
    <row r="895" ht="13.2"/>
    <row r="896" ht="13.2"/>
    <row r="897" ht="13.2"/>
    <row r="898" ht="13.2"/>
    <row r="899" ht="13.2"/>
    <row r="900" ht="13.2"/>
    <row r="901" ht="13.2"/>
    <row r="902" ht="13.2"/>
    <row r="903" ht="13.2"/>
    <row r="904" ht="13.2"/>
    <row r="905" ht="13.2"/>
    <row r="906" ht="13.2"/>
    <row r="907" ht="13.2"/>
    <row r="908" ht="13.2"/>
    <row r="909" ht="13.2"/>
    <row r="910" ht="13.2"/>
    <row r="911" ht="13.2"/>
    <row r="912" ht="13.2"/>
    <row r="913" ht="13.2"/>
    <row r="914" ht="13.2"/>
    <row r="915" ht="13.2"/>
    <row r="916" ht="13.2"/>
    <row r="917" ht="13.2"/>
    <row r="918" ht="13.2"/>
    <row r="919" ht="13.2"/>
    <row r="920" ht="13.2"/>
    <row r="921" ht="13.2"/>
    <row r="922" ht="13.2"/>
    <row r="923" ht="13.2"/>
    <row r="924" ht="13.2"/>
    <row r="925" ht="13.2"/>
    <row r="926" ht="13.2"/>
    <row r="927" ht="13.2"/>
    <row r="928" ht="13.2"/>
    <row r="929" ht="13.2"/>
    <row r="930" ht="13.2"/>
    <row r="931" ht="13.2"/>
    <row r="932" ht="13.2"/>
    <row r="933" ht="13.2"/>
    <row r="934" ht="13.2"/>
    <row r="935" ht="13.2"/>
    <row r="936" ht="13.2"/>
    <row r="937" ht="13.2"/>
    <row r="938" ht="13.2"/>
    <row r="939" ht="13.2"/>
    <row r="940" ht="13.2"/>
    <row r="941" ht="13.2"/>
    <row r="942" ht="13.2"/>
    <row r="943" ht="13.2"/>
    <row r="944" ht="13.2"/>
    <row r="945" ht="13.2"/>
    <row r="946" ht="13.2"/>
    <row r="947" ht="13.2"/>
    <row r="948" ht="13.2"/>
    <row r="949" ht="13.2"/>
    <row r="950" ht="13.2"/>
    <row r="951" ht="13.2"/>
    <row r="952" ht="13.2"/>
    <row r="953" ht="13.2"/>
    <row r="954" ht="13.2"/>
    <row r="955" ht="13.2"/>
    <row r="956" ht="13.2"/>
    <row r="957" ht="13.2"/>
    <row r="958" ht="13.2"/>
    <row r="959" ht="13.2"/>
    <row r="960" ht="13.2"/>
    <row r="961" ht="13.2"/>
    <row r="962" ht="13.2"/>
    <row r="963" ht="13.2"/>
    <row r="964" ht="13.2"/>
    <row r="965" ht="13.2"/>
    <row r="966" ht="13.2"/>
    <row r="967" ht="13.2"/>
    <row r="968" ht="13.2"/>
    <row r="969" ht="13.2"/>
    <row r="970" ht="13.2"/>
    <row r="971" ht="13.2"/>
    <row r="972" ht="13.2"/>
    <row r="973" ht="13.2"/>
    <row r="974" ht="13.2"/>
    <row r="975" ht="13.2"/>
    <row r="976" ht="13.2"/>
    <row r="977" ht="13.2"/>
    <row r="978" ht="13.2"/>
    <row r="979" ht="13.2"/>
    <row r="980" ht="13.2"/>
    <row r="981" ht="13.2"/>
    <row r="982" ht="13.2"/>
    <row r="983" ht="13.2"/>
    <row r="984" ht="13.2"/>
    <row r="985" ht="13.2"/>
    <row r="986" ht="13.2"/>
    <row r="987" ht="13.2"/>
    <row r="988" ht="13.2"/>
    <row r="989" ht="13.2"/>
    <row r="990" ht="13.2"/>
    <row r="991" ht="13.2"/>
    <row r="992" ht="13.2"/>
    <row r="993" ht="13.2"/>
    <row r="994" ht="13.2"/>
    <row r="995" ht="13.2"/>
    <row r="996" ht="13.2"/>
    <row r="997" ht="13.2"/>
    <row r="998" ht="13.2"/>
    <row r="999" ht="13.2"/>
    <row r="1000" ht="13.2"/>
    <row r="1001" ht="13.2"/>
    <row r="1002" ht="13.2"/>
    <row r="1003" ht="13.2"/>
    <row r="1004" ht="13.2"/>
  </sheetData>
  <sheetProtection algorithmName="SHA-512" hashValue="rh/MDxchEhatNwcXqNJ6DqG+dC+80zTCieLeOSeLbQFC2IMJjijInQQ8d4ksJRQzX2l42yAo+GdT41yjWWuYqQ==" saltValue="crMvudm/rbjo3TFriO3lBw==" spinCount="100000" sheet="1" selectLockedCells="1" selectUnlockedCells="1"/>
  <mergeCells count="1">
    <mergeCell ref="A27:D27"/>
  </mergeCells>
  <hyperlinks>
    <hyperlink ref="A2" r:id="rId1" xr:uid="{00000000-0004-0000-0B00-000000000000}"/>
  </hyperlinks>
  <pageMargins left="0.7" right="0.7" top="0.75" bottom="0.75" header="0.3" footer="0.3"/>
  <pageSetup orientation="portrait" r:id="rId2"/>
  <headerFooter>
    <oddHeader>&amp;C&amp;K00B050Vulnerability Assessment Tool, Food Fraud Advisors 2017</oddHeader>
    <oddFooter>&amp;CInsert your company's standard document control features here</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dimension ref="A1:V1002"/>
  <sheetViews>
    <sheetView showRowColHeaders="0" zoomScale="310" zoomScaleNormal="310" workbookViewId="0"/>
  </sheetViews>
  <sheetFormatPr defaultColWidth="17.33203125" defaultRowHeight="15" customHeight="1"/>
  <cols>
    <col min="1" max="1" width="6.5546875" style="4" customWidth="1"/>
    <col min="2" max="4" width="14.44140625" style="4" customWidth="1"/>
    <col min="5" max="5" width="15.33203125" style="4" customWidth="1"/>
    <col min="6" max="6" width="0.6640625" style="4" customWidth="1"/>
    <col min="7" max="12" width="2.88671875" style="4" customWidth="1"/>
    <col min="13" max="13" width="1.109375" style="4" customWidth="1"/>
    <col min="14" max="14" width="14.44140625" style="4" customWidth="1"/>
    <col min="15" max="15" width="16.44140625" style="4" customWidth="1"/>
    <col min="16" max="16" width="2.44140625" style="4" customWidth="1"/>
    <col min="17" max="17" width="2.109375" style="4" customWidth="1"/>
    <col min="18" max="19" width="5.5546875" style="4" customWidth="1"/>
    <col min="20" max="20" width="2.6640625" style="4" customWidth="1"/>
    <col min="21" max="23" width="14.44140625" style="4" customWidth="1"/>
    <col min="24" max="16384" width="17.33203125" style="4"/>
  </cols>
  <sheetData>
    <row r="1" spans="1:13" ht="15.75" customHeight="1">
      <c r="A1" s="4" t="s">
        <v>300</v>
      </c>
    </row>
    <row r="2" spans="1:13" ht="15.75" customHeight="1">
      <c r="A2" s="435" t="s">
        <v>299</v>
      </c>
    </row>
    <row r="3" spans="1:13" ht="15.75" customHeight="1">
      <c r="A3" s="436" t="s">
        <v>324</v>
      </c>
    </row>
    <row r="4" spans="1:13" ht="15.75" customHeight="1"/>
    <row r="5" spans="1:13" ht="15.75" customHeight="1"/>
    <row r="6" spans="1:13" ht="15.75" customHeight="1"/>
    <row r="7" spans="1:13" ht="15.75" customHeight="1"/>
    <row r="8" spans="1:13" ht="15.75" customHeight="1"/>
    <row r="9" spans="1:13" ht="15.75" customHeight="1"/>
    <row r="10" spans="1:13" ht="15.75" customHeight="1"/>
    <row r="11" spans="1:13" ht="15.75" customHeight="1"/>
    <row r="12" spans="1:13" ht="15.75" customHeight="1"/>
    <row r="13" spans="1:13" ht="6" customHeight="1" thickBot="1">
      <c r="F13" s="1"/>
      <c r="H13" s="336"/>
      <c r="I13" s="336"/>
      <c r="J13" s="336"/>
      <c r="K13" s="336"/>
      <c r="L13" s="336"/>
      <c r="M13" s="1"/>
    </row>
    <row r="14" spans="1:13" ht="15.75" customHeight="1">
      <c r="F14" s="358"/>
      <c r="G14" s="347"/>
      <c r="H14" s="347" t="s">
        <v>104</v>
      </c>
      <c r="I14" s="347"/>
      <c r="J14" s="347"/>
      <c r="K14" s="347"/>
      <c r="L14" s="347"/>
      <c r="M14" s="359"/>
    </row>
    <row r="15" spans="1:13" ht="15.75" customHeight="1">
      <c r="F15" s="360"/>
      <c r="G15" s="361"/>
      <c r="H15" s="29" t="str">
        <f>IF(AND($H$25=1,$H$29=1),"X","")</f>
        <v>X</v>
      </c>
      <c r="I15" s="29" t="str">
        <f>IF(AND($H$25=2,$H$29=1),"X","")</f>
        <v/>
      </c>
      <c r="J15" s="30" t="str">
        <f>IF(AND($H$25=3,$H$29=1),"X","")</f>
        <v/>
      </c>
      <c r="K15" s="30" t="str">
        <f>IF(AND($H$25=4,$H$29=1),"X","")</f>
        <v/>
      </c>
      <c r="L15" s="32" t="str">
        <f>IF(AND($H$25=5,$H$29=1),"X","")</f>
        <v/>
      </c>
      <c r="M15" s="362"/>
    </row>
    <row r="16" spans="1:13" ht="15.75" customHeight="1">
      <c r="F16" s="360"/>
      <c r="G16" s="361"/>
      <c r="H16" s="29" t="str">
        <f>IF(AND($H$25=1,$H$29=2),"X","")</f>
        <v/>
      </c>
      <c r="I16" s="29" t="str">
        <f>IF(AND($H$25=2,$H$29=2),"X","")</f>
        <v/>
      </c>
      <c r="J16" s="30" t="str">
        <f>IF(AND($H$25=3,$H$29=2),"X","")</f>
        <v/>
      </c>
      <c r="K16" s="31" t="str">
        <f>IF(AND($H$25=4,$H$29=2),"X","")</f>
        <v/>
      </c>
      <c r="L16" s="32" t="str">
        <f>IF(AND($H$25=5,$H$29=2),"X","")</f>
        <v/>
      </c>
      <c r="M16" s="362"/>
    </row>
    <row r="17" spans="6:14" ht="15.75" customHeight="1">
      <c r="F17" s="360"/>
      <c r="G17" s="361"/>
      <c r="H17" s="29" t="str">
        <f>IF(AND($H$25=1,$H$29=3),"X","")</f>
        <v/>
      </c>
      <c r="I17" s="30" t="str">
        <f>IF(AND($H$25=2,$H$29=3),"X","")</f>
        <v/>
      </c>
      <c r="J17" s="30" t="str">
        <f>IF(AND($H$25=3,$H$29=3),"X","")</f>
        <v/>
      </c>
      <c r="K17" s="32" t="str">
        <f>IF(AND($H$25=4,$H$29=3),"X","")</f>
        <v/>
      </c>
      <c r="L17" s="32" t="str">
        <f>IF(AND($H$25=5,$H$29=3),"X","")</f>
        <v/>
      </c>
      <c r="M17" s="362"/>
    </row>
    <row r="18" spans="6:14" ht="15.75" customHeight="1">
      <c r="F18" s="360"/>
      <c r="G18" s="361"/>
      <c r="H18" s="30" t="str">
        <f>IF(AND($H$25=1,$H$29=4),"X","")</f>
        <v/>
      </c>
      <c r="I18" s="30" t="str">
        <f>IF(AND($H$25=2,$H$29=4),"X","")</f>
        <v/>
      </c>
      <c r="J18" s="33" t="str">
        <f>IF(AND($H$25=3,$H$29=4),"X","")</f>
        <v/>
      </c>
      <c r="K18" s="32" t="str">
        <f>IF(AND($H$25=4,$H$29=4),"X","")</f>
        <v/>
      </c>
      <c r="L18" s="32" t="str">
        <f>IF(AND($H$25=5,$H$29=4),"X","")</f>
        <v/>
      </c>
      <c r="M18" s="362"/>
    </row>
    <row r="19" spans="6:14" ht="15.75" customHeight="1">
      <c r="F19" s="360"/>
      <c r="G19" s="361"/>
      <c r="H19" s="30" t="str">
        <f>IF(AND($H$25=1,$H$29=5),"X","")</f>
        <v/>
      </c>
      <c r="I19" s="33" t="str">
        <f>IF(AND($H$25=2,$H$29=5),"X","")</f>
        <v/>
      </c>
      <c r="J19" s="33" t="str">
        <f>IF(AND($H$25=3,$H$29=5),"X","")</f>
        <v/>
      </c>
      <c r="K19" s="32" t="str">
        <f>IF(AND($H$25=4,$H$29=5),"X","")</f>
        <v/>
      </c>
      <c r="L19" s="32" t="str">
        <f>IF(AND($H$25=5,$H$29=5),"X","")</f>
        <v/>
      </c>
      <c r="M19" s="362"/>
    </row>
    <row r="20" spans="6:14" ht="5.4" customHeight="1" thickBot="1">
      <c r="F20" s="355"/>
      <c r="G20" s="363"/>
      <c r="H20" s="363"/>
      <c r="I20" s="363"/>
      <c r="J20" s="363"/>
      <c r="K20" s="363"/>
      <c r="L20" s="363"/>
      <c r="M20" s="364"/>
    </row>
    <row r="21" spans="6:14" ht="15.75" customHeight="1"/>
    <row r="22" spans="6:14" ht="12.75" customHeight="1">
      <c r="F22" s="337"/>
      <c r="G22" s="338"/>
    </row>
    <row r="23" spans="6:14" ht="12.75" customHeight="1">
      <c r="F23" s="337"/>
      <c r="G23" s="427"/>
      <c r="H23" s="433"/>
      <c r="I23" s="427"/>
      <c r="J23" s="427"/>
      <c r="K23" s="427"/>
      <c r="L23" s="427"/>
      <c r="M23" s="427"/>
      <c r="N23" s="427"/>
    </row>
    <row r="24" spans="6:14" ht="12.75" customHeight="1">
      <c r="F24" s="340"/>
      <c r="G24" s="427"/>
      <c r="H24" s="433" t="str">
        <f>'Likelihood worksheet'!H45</f>
        <v>Very unlikely to be affected</v>
      </c>
      <c r="I24" s="433" t="str">
        <f>'Likelihood worksheet'!G45</f>
        <v>Very unlikely</v>
      </c>
      <c r="J24" s="427"/>
      <c r="K24" s="427"/>
      <c r="L24" s="427"/>
      <c r="M24" s="427"/>
      <c r="N24" s="427"/>
    </row>
    <row r="25" spans="6:14" ht="12.75" customHeight="1">
      <c r="F25" s="337"/>
      <c r="G25" s="427"/>
      <c r="H25" s="433">
        <f>IF(I24="Very unlikely",1,IF(I24="Unlikely",2,IF(I24="Fairly likely",3,IF(I24="Likely",4,IF(I24="Very likely/certain",5,"ERROR")))))</f>
        <v>1</v>
      </c>
      <c r="I25" s="427"/>
      <c r="J25" s="427"/>
      <c r="K25" s="427"/>
      <c r="L25" s="427"/>
      <c r="M25" s="427"/>
      <c r="N25" s="427"/>
    </row>
    <row r="26" spans="6:14" ht="12.75" customHeight="1">
      <c r="F26" s="337"/>
      <c r="G26" s="437"/>
      <c r="H26" s="427"/>
      <c r="I26" s="427"/>
      <c r="J26" s="427"/>
      <c r="K26" s="427"/>
      <c r="L26" s="427"/>
      <c r="M26" s="427"/>
      <c r="N26" s="427"/>
    </row>
    <row r="27" spans="6:14" ht="13.2">
      <c r="F27" s="337"/>
      <c r="G27" s="427"/>
      <c r="H27" s="433"/>
      <c r="I27" s="427"/>
      <c r="J27" s="427"/>
      <c r="K27" s="427"/>
      <c r="L27" s="427"/>
      <c r="M27" s="427"/>
      <c r="N27" s="427"/>
    </row>
    <row r="28" spans="6:14" ht="13.2">
      <c r="F28" s="340"/>
      <c r="G28" s="427"/>
      <c r="H28" s="427" t="str">
        <f>'Consequences worksheet'!G24</f>
        <v>Negligible consequences</v>
      </c>
      <c r="I28" s="427"/>
      <c r="J28" s="427"/>
      <c r="K28" s="427"/>
      <c r="L28" s="427"/>
      <c r="M28" s="427"/>
      <c r="N28" s="427"/>
    </row>
    <row r="29" spans="6:14" ht="13.2">
      <c r="F29" s="337"/>
      <c r="G29" s="427"/>
      <c r="H29" s="434">
        <f>IF(H28="Negligible consequences",1,IF(H28="Minor consequences",2,IF(H28="Moderate consequences",3,IF(H28="Significant consequences",4,IF(H28="Severe consequences",5,"ERROR")))))</f>
        <v>1</v>
      </c>
      <c r="I29" s="427"/>
      <c r="J29" s="427"/>
      <c r="K29" s="427"/>
      <c r="L29" s="427"/>
      <c r="M29" s="427"/>
      <c r="N29" s="427"/>
    </row>
    <row r="30" spans="6:14" ht="13.2">
      <c r="F30" s="342"/>
      <c r="G30" s="338"/>
      <c r="H30" s="341"/>
    </row>
    <row r="31" spans="6:14" ht="13.2">
      <c r="F31" s="337"/>
      <c r="G31" s="343"/>
      <c r="H31" s="344"/>
    </row>
    <row r="32" spans="6:14" ht="13.8" thickBot="1">
      <c r="F32" s="342"/>
      <c r="G32" s="338"/>
      <c r="H32" s="338"/>
      <c r="I32" s="338"/>
      <c r="J32" s="338"/>
      <c r="K32" s="338"/>
      <c r="L32" s="338"/>
    </row>
    <row r="33" spans="6:22" ht="13.2">
      <c r="P33" s="346"/>
      <c r="Q33" s="347" t="s">
        <v>210</v>
      </c>
      <c r="R33" s="347"/>
      <c r="S33" s="347"/>
      <c r="T33" s="348"/>
      <c r="V33" s="13"/>
    </row>
    <row r="34" spans="6:22" ht="15" customHeight="1">
      <c r="F34" s="342"/>
      <c r="P34" s="365"/>
      <c r="Q34" s="351" t="s">
        <v>104</v>
      </c>
      <c r="R34" s="351"/>
      <c r="S34" s="361"/>
      <c r="T34" s="352"/>
      <c r="U34" s="353"/>
      <c r="V34" s="13"/>
    </row>
    <row r="35" spans="6:22" ht="27.6" customHeight="1">
      <c r="F35" s="342"/>
      <c r="P35" s="349"/>
      <c r="Q35" s="350"/>
      <c r="R35" s="29" t="str">
        <f>IF(AND('calc sheet'!$H$51=0,'calc sheet'!$H$55=0),"X","")</f>
        <v/>
      </c>
      <c r="S35" s="30" t="str">
        <f>IF(AND('calc sheet'!$H$51=1,'calc sheet'!$H$55=0),"X","")</f>
        <v/>
      </c>
      <c r="T35" s="354"/>
      <c r="U35" s="353"/>
      <c r="V35" s="13"/>
    </row>
    <row r="36" spans="6:22" ht="27.6" customHeight="1">
      <c r="P36" s="349"/>
      <c r="Q36" s="350"/>
      <c r="R36" s="30" t="str">
        <f>IF(AND('calc sheet'!$H$51=0,'calc sheet'!$H$55=1),"X","")</f>
        <v/>
      </c>
      <c r="S36" s="33" t="str">
        <f>IF(AND('calc sheet'!$H$51=1,'calc sheet'!$H$55=1),"X","")</f>
        <v>X</v>
      </c>
      <c r="T36" s="354"/>
      <c r="U36" s="353"/>
      <c r="V36" s="13"/>
    </row>
    <row r="37" spans="6:22" ht="13.8" thickBot="1">
      <c r="P37" s="355"/>
      <c r="Q37" s="356"/>
      <c r="R37" s="356"/>
      <c r="S37" s="356"/>
      <c r="T37" s="357"/>
      <c r="U37" s="353"/>
      <c r="V37" s="13"/>
    </row>
    <row r="38" spans="6:22" ht="13.2"/>
    <row r="39" spans="6:22" ht="13.2">
      <c r="G39" s="345"/>
      <c r="P39" s="338"/>
    </row>
    <row r="40" spans="6:22" ht="13.2">
      <c r="Q40" s="339"/>
      <c r="S40" s="339"/>
    </row>
    <row r="41" spans="6:22" ht="13.2">
      <c r="Q41" s="339"/>
      <c r="S41" s="339"/>
    </row>
    <row r="42" spans="6:22" ht="13.2">
      <c r="Q42" s="339"/>
    </row>
    <row r="43" spans="6:22" ht="13.2">
      <c r="P43" s="338"/>
    </row>
    <row r="44" spans="6:22" ht="13.2">
      <c r="Q44" s="339"/>
      <c r="S44" s="339"/>
    </row>
    <row r="45" spans="6:22" ht="13.2">
      <c r="S45" s="339"/>
    </row>
    <row r="46" spans="6:22" ht="13.2">
      <c r="Q46" s="341"/>
    </row>
    <row r="47" spans="6:22" ht="13.2"/>
    <row r="48" spans="6:22" ht="13.2"/>
    <row r="49" ht="13.2"/>
    <row r="50" ht="13.2"/>
    <row r="51" ht="13.2"/>
    <row r="52" ht="13.2"/>
    <row r="53" ht="13.2"/>
    <row r="54" ht="13.2"/>
    <row r="55" ht="13.2"/>
    <row r="56" ht="13.2"/>
    <row r="57" ht="13.2"/>
    <row r="58" ht="13.2"/>
    <row r="59" ht="13.2"/>
    <row r="60" ht="13.2"/>
    <row r="61" ht="13.2"/>
    <row r="62" ht="13.2"/>
    <row r="63" ht="13.2"/>
    <row r="64" ht="13.2"/>
    <row r="65" ht="13.2"/>
    <row r="66" ht="13.2"/>
    <row r="67" ht="13.2"/>
    <row r="68" ht="13.2"/>
    <row r="69" ht="13.2"/>
    <row r="70" ht="13.2"/>
    <row r="71" ht="13.2"/>
    <row r="72" ht="13.2"/>
    <row r="73" ht="13.2"/>
    <row r="74" ht="13.2"/>
    <row r="75" ht="13.2"/>
    <row r="76" ht="13.2"/>
    <row r="77" ht="13.2"/>
    <row r="78" ht="13.2"/>
    <row r="79" ht="13.2"/>
    <row r="80" ht="13.2"/>
    <row r="81" ht="13.2"/>
    <row r="82" ht="13.2"/>
    <row r="83" ht="13.2"/>
    <row r="84" ht="13.2"/>
    <row r="85" ht="13.2"/>
    <row r="86" ht="13.2"/>
    <row r="87" ht="13.2"/>
    <row r="88" ht="13.2"/>
    <row r="89" ht="13.2"/>
    <row r="90" ht="13.2"/>
    <row r="91" ht="13.2"/>
    <row r="92" ht="13.2"/>
    <row r="93" ht="13.2"/>
    <row r="94" ht="13.2"/>
    <row r="95" ht="13.2"/>
    <row r="96" ht="13.2"/>
    <row r="97" ht="13.2"/>
    <row r="98" ht="13.2"/>
    <row r="99" ht="13.2"/>
    <row r="100" ht="13.2"/>
    <row r="101" ht="13.2"/>
    <row r="102" ht="13.2"/>
    <row r="103" ht="13.2"/>
    <row r="104" ht="13.2"/>
    <row r="105" ht="13.2"/>
    <row r="106" ht="13.2"/>
    <row r="107" ht="13.2"/>
    <row r="108" ht="13.2"/>
    <row r="109" ht="13.2"/>
    <row r="110" ht="13.2"/>
    <row r="111" ht="13.2"/>
    <row r="112" ht="13.2"/>
    <row r="113" ht="13.2"/>
    <row r="114" ht="13.2"/>
    <row r="115" ht="13.2"/>
    <row r="116" ht="13.2"/>
    <row r="117" ht="13.2"/>
    <row r="118" ht="13.2"/>
    <row r="119" ht="13.2"/>
    <row r="120" ht="13.2"/>
    <row r="121" ht="13.2"/>
    <row r="122" ht="13.2"/>
    <row r="123" ht="13.2"/>
    <row r="124" ht="13.2"/>
    <row r="125" ht="13.2"/>
    <row r="126" ht="13.2"/>
    <row r="127" ht="13.2"/>
    <row r="128" ht="13.2"/>
    <row r="129" ht="13.2"/>
    <row r="130" ht="13.2"/>
    <row r="131" ht="13.2"/>
    <row r="132" ht="13.2"/>
    <row r="133" ht="13.2"/>
    <row r="134" ht="13.2"/>
    <row r="135" ht="13.2"/>
    <row r="136" ht="13.2"/>
    <row r="137" ht="13.2"/>
    <row r="138" ht="13.2"/>
    <row r="139" ht="13.2"/>
    <row r="140" ht="13.2"/>
    <row r="141" ht="13.2"/>
    <row r="142" ht="13.2"/>
    <row r="143" ht="13.2"/>
    <row r="144" ht="13.2"/>
    <row r="145" ht="13.2"/>
    <row r="146" ht="13.2"/>
    <row r="147" ht="13.2"/>
    <row r="148" ht="13.2"/>
    <row r="149" ht="13.2"/>
    <row r="150" ht="13.2"/>
    <row r="151" ht="13.2"/>
    <row r="152" ht="13.2"/>
    <row r="153" ht="13.2"/>
    <row r="154" ht="13.2"/>
    <row r="155" ht="13.2"/>
    <row r="156" ht="13.2"/>
    <row r="157" ht="13.2"/>
    <row r="158" ht="13.2"/>
    <row r="159" ht="13.2"/>
    <row r="160" ht="13.2"/>
    <row r="161" ht="13.2"/>
    <row r="162" ht="13.2"/>
    <row r="163" ht="13.2"/>
    <row r="164" ht="13.2"/>
    <row r="165" ht="13.2"/>
    <row r="166" ht="13.2"/>
    <row r="167" ht="13.2"/>
    <row r="168" ht="13.2"/>
    <row r="169" ht="13.2"/>
    <row r="170" ht="13.2"/>
    <row r="171" ht="13.2"/>
    <row r="172" ht="13.2"/>
    <row r="173" ht="13.2"/>
    <row r="174" ht="13.2"/>
    <row r="175" ht="13.2"/>
    <row r="176" ht="13.2"/>
    <row r="177" ht="13.2"/>
    <row r="178" ht="13.2"/>
    <row r="179" ht="13.2"/>
    <row r="180" ht="13.2"/>
    <row r="181" ht="13.2"/>
    <row r="182" ht="13.2"/>
    <row r="183" ht="13.2"/>
    <row r="184" ht="13.2"/>
    <row r="185" ht="13.2"/>
    <row r="186" ht="13.2"/>
    <row r="187" ht="13.2"/>
    <row r="188" ht="13.2"/>
    <row r="189" ht="13.2"/>
    <row r="190" ht="13.2"/>
    <row r="191" ht="13.2"/>
    <row r="192" ht="13.2"/>
    <row r="193" ht="13.2"/>
    <row r="194" ht="13.2"/>
    <row r="195" ht="13.2"/>
    <row r="196" ht="13.2"/>
    <row r="197" ht="13.2"/>
    <row r="198" ht="13.2"/>
    <row r="199" ht="13.2"/>
    <row r="200" ht="13.2"/>
    <row r="201" ht="13.2"/>
    <row r="202" ht="13.2"/>
    <row r="203" ht="13.2"/>
    <row r="204" ht="13.2"/>
    <row r="205" ht="13.2"/>
    <row r="206" ht="13.2"/>
    <row r="207" ht="13.2"/>
    <row r="208" ht="13.2"/>
    <row r="209" ht="13.2"/>
    <row r="210" ht="13.2"/>
    <row r="211" ht="13.2"/>
    <row r="212" ht="13.2"/>
    <row r="213" ht="13.2"/>
    <row r="214" ht="13.2"/>
    <row r="215" ht="13.2"/>
    <row r="216" ht="13.2"/>
    <row r="217" ht="13.2"/>
    <row r="218" ht="13.2"/>
    <row r="219" ht="13.2"/>
    <row r="220" ht="13.2"/>
    <row r="221" ht="13.2"/>
    <row r="222" ht="13.2"/>
    <row r="223" ht="13.2"/>
    <row r="224" ht="13.2"/>
    <row r="225" ht="13.2"/>
    <row r="226" ht="13.2"/>
    <row r="227" ht="13.2"/>
    <row r="228" ht="13.2"/>
    <row r="229" ht="13.2"/>
    <row r="230" ht="13.2"/>
    <row r="231" ht="13.2"/>
    <row r="232" ht="13.2"/>
    <row r="233" ht="13.2"/>
    <row r="234" ht="13.2"/>
    <row r="235" ht="13.2"/>
    <row r="236" ht="13.2"/>
    <row r="237" ht="13.2"/>
    <row r="238" ht="13.2"/>
    <row r="239" ht="13.2"/>
    <row r="240" ht="13.2"/>
    <row r="241" ht="13.2"/>
    <row r="242" ht="13.2"/>
    <row r="243" ht="13.2"/>
    <row r="244" ht="13.2"/>
    <row r="245" ht="13.2"/>
    <row r="246" ht="13.2"/>
    <row r="247" ht="13.2"/>
    <row r="248" ht="13.2"/>
    <row r="249" ht="13.2"/>
    <row r="250" ht="13.2"/>
    <row r="251" ht="13.2"/>
    <row r="252" ht="13.2"/>
    <row r="253" ht="13.2"/>
    <row r="254" ht="13.2"/>
    <row r="255" ht="13.2"/>
    <row r="256" ht="13.2"/>
    <row r="257" ht="13.2"/>
    <row r="258" ht="13.2"/>
    <row r="259" ht="13.2"/>
    <row r="260" ht="13.2"/>
    <row r="261" ht="13.2"/>
    <row r="262" ht="13.2"/>
    <row r="263" ht="13.2"/>
    <row r="264" ht="13.2"/>
    <row r="265" ht="13.2"/>
    <row r="266" ht="13.2"/>
    <row r="267" ht="13.2"/>
    <row r="268" ht="13.2"/>
    <row r="269" ht="13.2"/>
    <row r="270" ht="13.2"/>
    <row r="271" ht="13.2"/>
    <row r="272" ht="13.2"/>
    <row r="273" ht="13.2"/>
    <row r="274" ht="13.2"/>
    <row r="275" ht="13.2"/>
    <row r="276" ht="13.2"/>
    <row r="277" ht="13.2"/>
    <row r="278" ht="13.2"/>
    <row r="279" ht="13.2"/>
    <row r="280" ht="13.2"/>
    <row r="281" ht="13.2"/>
    <row r="282" ht="13.2"/>
    <row r="283" ht="13.2"/>
    <row r="284" ht="13.2"/>
    <row r="285" ht="13.2"/>
    <row r="286" ht="13.2"/>
    <row r="287" ht="13.2"/>
    <row r="288" ht="13.2"/>
    <row r="289" ht="13.2"/>
    <row r="290" ht="13.2"/>
    <row r="291" ht="13.2"/>
    <row r="292" ht="13.2"/>
    <row r="293" ht="13.2"/>
    <row r="294" ht="13.2"/>
    <row r="295" ht="13.2"/>
    <row r="296" ht="13.2"/>
    <row r="297" ht="13.2"/>
    <row r="298" ht="13.2"/>
    <row r="299" ht="13.2"/>
    <row r="300" ht="13.2"/>
    <row r="301" ht="13.2"/>
    <row r="302" ht="13.2"/>
    <row r="303" ht="13.2"/>
    <row r="304" ht="13.2"/>
    <row r="305" ht="13.2"/>
    <row r="306" ht="13.2"/>
    <row r="307" ht="13.2"/>
    <row r="308" ht="13.2"/>
    <row r="309" ht="13.2"/>
    <row r="310" ht="13.2"/>
    <row r="311" ht="13.2"/>
    <row r="312" ht="13.2"/>
    <row r="313" ht="13.2"/>
    <row r="314" ht="13.2"/>
    <row r="315" ht="13.2"/>
    <row r="316" ht="13.2"/>
    <row r="317" ht="13.2"/>
    <row r="318" ht="13.2"/>
    <row r="319" ht="13.2"/>
    <row r="320" ht="13.2"/>
    <row r="321" ht="13.2"/>
    <row r="322" ht="13.2"/>
    <row r="323" ht="13.2"/>
    <row r="324" ht="13.2"/>
    <row r="325" ht="13.2"/>
    <row r="326" ht="13.2"/>
    <row r="327" ht="13.2"/>
    <row r="328" ht="13.2"/>
    <row r="329" ht="13.2"/>
    <row r="330" ht="13.2"/>
    <row r="331" ht="13.2"/>
    <row r="332" ht="13.2"/>
    <row r="333" ht="13.2"/>
    <row r="334" ht="13.2"/>
    <row r="335" ht="13.2"/>
    <row r="336" ht="13.2"/>
    <row r="337" ht="13.2"/>
    <row r="338" ht="13.2"/>
    <row r="339" ht="13.2"/>
    <row r="340" ht="13.2"/>
    <row r="341" ht="13.2"/>
    <row r="342" ht="13.2"/>
    <row r="343" ht="13.2"/>
    <row r="344" ht="13.2"/>
    <row r="345" ht="13.2"/>
    <row r="346" ht="13.2"/>
    <row r="347" ht="13.2"/>
    <row r="348" ht="13.2"/>
    <row r="349" ht="13.2"/>
    <row r="350" ht="13.2"/>
    <row r="351" ht="13.2"/>
    <row r="352" ht="13.2"/>
    <row r="353" ht="13.2"/>
    <row r="354" ht="13.2"/>
    <row r="355" ht="13.2"/>
    <row r="356" ht="13.2"/>
    <row r="357" ht="13.2"/>
    <row r="358" ht="13.2"/>
    <row r="359" ht="13.2"/>
    <row r="360" ht="13.2"/>
    <row r="361" ht="13.2"/>
    <row r="362" ht="13.2"/>
    <row r="363" ht="13.2"/>
    <row r="364" ht="13.2"/>
    <row r="365" ht="13.2"/>
    <row r="366" ht="13.2"/>
    <row r="367" ht="13.2"/>
    <row r="368" ht="13.2"/>
    <row r="369" ht="13.2"/>
    <row r="370" ht="13.2"/>
    <row r="371" ht="13.2"/>
    <row r="372" ht="13.2"/>
    <row r="373" ht="13.2"/>
    <row r="374" ht="13.2"/>
    <row r="375" ht="13.2"/>
    <row r="376" ht="13.2"/>
    <row r="377" ht="13.2"/>
    <row r="378" ht="13.2"/>
    <row r="379" ht="13.2"/>
    <row r="380" ht="13.2"/>
    <row r="381" ht="13.2"/>
    <row r="382" ht="13.2"/>
    <row r="383" ht="13.2"/>
    <row r="384" ht="13.2"/>
    <row r="385" ht="13.2"/>
    <row r="386" ht="13.2"/>
    <row r="387" ht="13.2"/>
    <row r="388" ht="13.2"/>
    <row r="389" ht="13.2"/>
    <row r="390" ht="13.2"/>
    <row r="391" ht="13.2"/>
    <row r="392" ht="13.2"/>
    <row r="393" ht="13.2"/>
    <row r="394" ht="13.2"/>
    <row r="395" ht="13.2"/>
    <row r="396" ht="13.2"/>
    <row r="397" ht="13.2"/>
    <row r="398" ht="13.2"/>
    <row r="399" ht="13.2"/>
    <row r="400" ht="13.2"/>
    <row r="401" ht="13.2"/>
    <row r="402" ht="13.2"/>
    <row r="403" ht="13.2"/>
    <row r="404" ht="13.2"/>
    <row r="405" ht="13.2"/>
    <row r="406" ht="13.2"/>
    <row r="407" ht="13.2"/>
    <row r="408" ht="13.2"/>
    <row r="409" ht="13.2"/>
    <row r="410" ht="13.2"/>
    <row r="411" ht="13.2"/>
    <row r="412" ht="13.2"/>
    <row r="413" ht="13.2"/>
    <row r="414" ht="13.2"/>
    <row r="415" ht="13.2"/>
    <row r="416" ht="13.2"/>
    <row r="417" ht="13.2"/>
    <row r="418" ht="13.2"/>
    <row r="419" ht="13.2"/>
    <row r="420" ht="13.2"/>
    <row r="421" ht="13.2"/>
    <row r="422" ht="13.2"/>
    <row r="423" ht="13.2"/>
    <row r="424" ht="13.2"/>
    <row r="425" ht="13.2"/>
    <row r="426" ht="13.2"/>
    <row r="427" ht="13.2"/>
    <row r="428" ht="13.2"/>
    <row r="429" ht="13.2"/>
    <row r="430" ht="13.2"/>
    <row r="431" ht="13.2"/>
    <row r="432" ht="13.2"/>
    <row r="433" ht="13.2"/>
    <row r="434" ht="13.2"/>
    <row r="435" ht="13.2"/>
    <row r="436" ht="13.2"/>
    <row r="437" ht="13.2"/>
    <row r="438" ht="13.2"/>
    <row r="439" ht="13.2"/>
    <row r="440" ht="13.2"/>
    <row r="441" ht="13.2"/>
    <row r="442" ht="13.2"/>
    <row r="443" ht="13.2"/>
    <row r="444" ht="13.2"/>
    <row r="445" ht="13.2"/>
    <row r="446" ht="13.2"/>
    <row r="447" ht="13.2"/>
    <row r="448" ht="13.2"/>
    <row r="449" ht="13.2"/>
    <row r="450" ht="13.2"/>
    <row r="451" ht="13.2"/>
    <row r="452" ht="13.2"/>
    <row r="453" ht="13.2"/>
    <row r="454" ht="13.2"/>
    <row r="455" ht="13.2"/>
    <row r="456" ht="13.2"/>
    <row r="457" ht="13.2"/>
    <row r="458" ht="13.2"/>
    <row r="459" ht="13.2"/>
    <row r="460" ht="13.2"/>
    <row r="461" ht="13.2"/>
    <row r="462" ht="13.2"/>
    <row r="463" ht="13.2"/>
    <row r="464" ht="13.2"/>
    <row r="465" ht="13.2"/>
    <row r="466" ht="13.2"/>
    <row r="467" ht="13.2"/>
    <row r="468" ht="13.2"/>
    <row r="469" ht="13.2"/>
    <row r="470" ht="13.2"/>
    <row r="471" ht="13.2"/>
    <row r="472" ht="13.2"/>
    <row r="473" ht="13.2"/>
    <row r="474" ht="13.2"/>
    <row r="475" ht="13.2"/>
    <row r="476" ht="13.2"/>
    <row r="477" ht="13.2"/>
    <row r="478" ht="13.2"/>
    <row r="479" ht="13.2"/>
    <row r="480" ht="13.2"/>
    <row r="481" ht="13.2"/>
    <row r="482" ht="13.2"/>
    <row r="483" ht="13.2"/>
    <row r="484" ht="13.2"/>
    <row r="485" ht="13.2"/>
    <row r="486" ht="13.2"/>
    <row r="487" ht="13.2"/>
    <row r="488" ht="13.2"/>
    <row r="489" ht="13.2"/>
    <row r="490" ht="13.2"/>
    <row r="491" ht="13.2"/>
    <row r="492" ht="13.2"/>
    <row r="493" ht="13.2"/>
    <row r="494" ht="13.2"/>
    <row r="495" ht="13.2"/>
    <row r="496" ht="13.2"/>
    <row r="497" ht="13.2"/>
    <row r="498" ht="13.2"/>
    <row r="499" ht="13.2"/>
    <row r="500" ht="13.2"/>
    <row r="501" ht="13.2"/>
    <row r="502" ht="13.2"/>
    <row r="503" ht="13.2"/>
    <row r="504" ht="13.2"/>
    <row r="505" ht="13.2"/>
    <row r="506" ht="13.2"/>
    <row r="507" ht="13.2"/>
    <row r="508" ht="13.2"/>
    <row r="509" ht="13.2"/>
    <row r="510" ht="13.2"/>
    <row r="511" ht="13.2"/>
    <row r="512" ht="13.2"/>
    <row r="513" ht="13.2"/>
    <row r="514" ht="13.2"/>
    <row r="515" ht="13.2"/>
    <row r="516" ht="13.2"/>
    <row r="517" ht="13.2"/>
    <row r="518" ht="13.2"/>
    <row r="519" ht="13.2"/>
    <row r="520" ht="13.2"/>
    <row r="521" ht="13.2"/>
    <row r="522" ht="13.2"/>
    <row r="523" ht="13.2"/>
    <row r="524" ht="13.2"/>
    <row r="525" ht="13.2"/>
    <row r="526" ht="13.2"/>
    <row r="527" ht="13.2"/>
    <row r="528" ht="13.2"/>
    <row r="529" ht="13.2"/>
    <row r="530" ht="13.2"/>
    <row r="531" ht="13.2"/>
    <row r="532" ht="13.2"/>
    <row r="533" ht="13.2"/>
    <row r="534" ht="13.2"/>
    <row r="535" ht="13.2"/>
    <row r="536" ht="13.2"/>
    <row r="537" ht="13.2"/>
    <row r="538" ht="13.2"/>
    <row r="539" ht="13.2"/>
    <row r="540" ht="13.2"/>
    <row r="541" ht="13.2"/>
    <row r="542" ht="13.2"/>
    <row r="543" ht="13.2"/>
    <row r="544" ht="13.2"/>
    <row r="545" ht="13.2"/>
    <row r="546" ht="13.2"/>
    <row r="547" ht="13.2"/>
    <row r="548" ht="13.2"/>
    <row r="549" ht="13.2"/>
    <row r="550" ht="13.2"/>
    <row r="551" ht="13.2"/>
    <row r="552" ht="13.2"/>
    <row r="553" ht="13.2"/>
    <row r="554" ht="13.2"/>
    <row r="555" ht="13.2"/>
    <row r="556" ht="13.2"/>
    <row r="557" ht="13.2"/>
    <row r="558" ht="13.2"/>
    <row r="559" ht="13.2"/>
    <row r="560" ht="13.2"/>
    <row r="561" ht="13.2"/>
    <row r="562" ht="13.2"/>
    <row r="563" ht="13.2"/>
    <row r="564" ht="13.2"/>
    <row r="565" ht="13.2"/>
    <row r="566" ht="13.2"/>
    <row r="567" ht="13.2"/>
    <row r="568" ht="13.2"/>
    <row r="569" ht="13.2"/>
    <row r="570" ht="13.2"/>
    <row r="571" ht="13.2"/>
    <row r="572" ht="13.2"/>
    <row r="573" ht="13.2"/>
    <row r="574" ht="13.2"/>
    <row r="575" ht="13.2"/>
    <row r="576" ht="13.2"/>
    <row r="577" ht="13.2"/>
    <row r="578" ht="13.2"/>
    <row r="579" ht="13.2"/>
    <row r="580" ht="13.2"/>
    <row r="581" ht="13.2"/>
    <row r="582" ht="13.2"/>
    <row r="583" ht="13.2"/>
    <row r="584" ht="13.2"/>
    <row r="585" ht="13.2"/>
    <row r="586" ht="13.2"/>
    <row r="587" ht="13.2"/>
    <row r="588" ht="13.2"/>
    <row r="589" ht="13.2"/>
    <row r="590" ht="13.2"/>
    <row r="591" ht="13.2"/>
    <row r="592" ht="13.2"/>
    <row r="593" ht="13.2"/>
    <row r="594" ht="13.2"/>
    <row r="595" ht="13.2"/>
    <row r="596" ht="13.2"/>
    <row r="597" ht="13.2"/>
    <row r="598" ht="13.2"/>
    <row r="599" ht="13.2"/>
    <row r="600" ht="13.2"/>
    <row r="601" ht="13.2"/>
    <row r="602" ht="13.2"/>
    <row r="603" ht="13.2"/>
    <row r="604" ht="13.2"/>
    <row r="605" ht="13.2"/>
    <row r="606" ht="13.2"/>
    <row r="607" ht="13.2"/>
    <row r="608" ht="13.2"/>
    <row r="609" ht="13.2"/>
    <row r="610" ht="13.2"/>
    <row r="611" ht="13.2"/>
    <row r="612" ht="13.2"/>
    <row r="613" ht="13.2"/>
    <row r="614" ht="13.2"/>
    <row r="615" ht="13.2"/>
    <row r="616" ht="13.2"/>
    <row r="617" ht="13.2"/>
    <row r="618" ht="13.2"/>
    <row r="619" ht="13.2"/>
    <row r="620" ht="13.2"/>
    <row r="621" ht="13.2"/>
    <row r="622" ht="13.2"/>
    <row r="623" ht="13.2"/>
    <row r="624" ht="13.2"/>
    <row r="625" ht="13.2"/>
    <row r="626" ht="13.2"/>
    <row r="627" ht="13.2"/>
    <row r="628" ht="13.2"/>
    <row r="629" ht="13.2"/>
    <row r="630" ht="13.2"/>
    <row r="631" ht="13.2"/>
    <row r="632" ht="13.2"/>
    <row r="633" ht="13.2"/>
    <row r="634" ht="13.2"/>
    <row r="635" ht="13.2"/>
    <row r="636" ht="13.2"/>
    <row r="637" ht="13.2"/>
    <row r="638" ht="13.2"/>
    <row r="639" ht="13.2"/>
    <row r="640" ht="13.2"/>
    <row r="641" ht="13.2"/>
    <row r="642" ht="13.2"/>
    <row r="643" ht="13.2"/>
    <row r="644" ht="13.2"/>
    <row r="645" ht="13.2"/>
    <row r="646" ht="13.2"/>
    <row r="647" ht="13.2"/>
    <row r="648" ht="13.2"/>
    <row r="649" ht="13.2"/>
    <row r="650" ht="13.2"/>
    <row r="651" ht="13.2"/>
    <row r="652" ht="13.2"/>
    <row r="653" ht="13.2"/>
    <row r="654" ht="13.2"/>
    <row r="655" ht="13.2"/>
    <row r="656" ht="13.2"/>
    <row r="657" ht="13.2"/>
    <row r="658" ht="13.2"/>
    <row r="659" ht="13.2"/>
    <row r="660" ht="13.2"/>
    <row r="661" ht="13.2"/>
    <row r="662" ht="13.2"/>
    <row r="663" ht="13.2"/>
    <row r="664" ht="13.2"/>
    <row r="665" ht="13.2"/>
    <row r="666" ht="13.2"/>
    <row r="667" ht="13.2"/>
    <row r="668" ht="13.2"/>
    <row r="669" ht="13.2"/>
    <row r="670" ht="13.2"/>
    <row r="671" ht="13.2"/>
    <row r="672" ht="13.2"/>
    <row r="673" ht="13.2"/>
    <row r="674" ht="13.2"/>
    <row r="675" ht="13.2"/>
    <row r="676" ht="13.2"/>
    <row r="677" ht="13.2"/>
    <row r="678" ht="13.2"/>
    <row r="679" ht="13.2"/>
    <row r="680" ht="13.2"/>
    <row r="681" ht="13.2"/>
    <row r="682" ht="13.2"/>
    <row r="683" ht="13.2"/>
    <row r="684" ht="13.2"/>
    <row r="685" ht="13.2"/>
    <row r="686" ht="13.2"/>
    <row r="687" ht="13.2"/>
    <row r="688" ht="13.2"/>
    <row r="689" ht="13.2"/>
    <row r="690" ht="13.2"/>
    <row r="691" ht="13.2"/>
    <row r="692" ht="13.2"/>
    <row r="693" ht="13.2"/>
    <row r="694" ht="13.2"/>
    <row r="695" ht="13.2"/>
    <row r="696" ht="13.2"/>
    <row r="697" ht="13.2"/>
    <row r="698" ht="13.2"/>
    <row r="699" ht="13.2"/>
    <row r="700" ht="13.2"/>
    <row r="701" ht="13.2"/>
    <row r="702" ht="13.2"/>
    <row r="703" ht="13.2"/>
    <row r="704" ht="13.2"/>
    <row r="705" ht="13.2"/>
    <row r="706" ht="13.2"/>
    <row r="707" ht="13.2"/>
    <row r="708" ht="13.2"/>
    <row r="709" ht="13.2"/>
    <row r="710" ht="13.2"/>
    <row r="711" ht="13.2"/>
    <row r="712" ht="13.2"/>
    <row r="713" ht="13.2"/>
    <row r="714" ht="13.2"/>
    <row r="715" ht="13.2"/>
    <row r="716" ht="13.2"/>
    <row r="717" ht="13.2"/>
    <row r="718" ht="13.2"/>
    <row r="719" ht="13.2"/>
    <row r="720" ht="13.2"/>
    <row r="721" ht="13.2"/>
    <row r="722" ht="13.2"/>
    <row r="723" ht="13.2"/>
    <row r="724" ht="13.2"/>
    <row r="725" ht="13.2"/>
    <row r="726" ht="13.2"/>
    <row r="727" ht="13.2"/>
    <row r="728" ht="13.2"/>
    <row r="729" ht="13.2"/>
    <row r="730" ht="13.2"/>
    <row r="731" ht="13.2"/>
    <row r="732" ht="13.2"/>
    <row r="733" ht="13.2"/>
    <row r="734" ht="13.2"/>
    <row r="735" ht="13.2"/>
    <row r="736" ht="13.2"/>
    <row r="737" ht="13.2"/>
    <row r="738" ht="13.2"/>
    <row r="739" ht="13.2"/>
    <row r="740" ht="13.2"/>
    <row r="741" ht="13.2"/>
    <row r="742" ht="13.2"/>
    <row r="743" ht="13.2"/>
    <row r="744" ht="13.2"/>
    <row r="745" ht="13.2"/>
    <row r="746" ht="13.2"/>
    <row r="747" ht="13.2"/>
    <row r="748" ht="13.2"/>
    <row r="749" ht="13.2"/>
    <row r="750" ht="13.2"/>
    <row r="751" ht="13.2"/>
    <row r="752" ht="13.2"/>
    <row r="753" ht="13.2"/>
    <row r="754" ht="13.2"/>
    <row r="755" ht="13.2"/>
    <row r="756" ht="13.2"/>
    <row r="757" ht="13.2"/>
    <row r="758" ht="13.2"/>
    <row r="759" ht="13.2"/>
    <row r="760" ht="13.2"/>
    <row r="761" ht="13.2"/>
    <row r="762" ht="13.2"/>
    <row r="763" ht="13.2"/>
    <row r="764" ht="13.2"/>
    <row r="765" ht="13.2"/>
    <row r="766" ht="13.2"/>
    <row r="767" ht="13.2"/>
    <row r="768" ht="13.2"/>
    <row r="769" ht="13.2"/>
    <row r="770" ht="13.2"/>
    <row r="771" ht="13.2"/>
    <row r="772" ht="13.2"/>
    <row r="773" ht="13.2"/>
    <row r="774" ht="13.2"/>
    <row r="775" ht="13.2"/>
    <row r="776" ht="13.2"/>
    <row r="777" ht="13.2"/>
    <row r="778" ht="13.2"/>
    <row r="779" ht="13.2"/>
    <row r="780" ht="13.2"/>
    <row r="781" ht="13.2"/>
    <row r="782" ht="13.2"/>
    <row r="783" ht="13.2"/>
    <row r="784" ht="13.2"/>
    <row r="785" ht="13.2"/>
    <row r="786" ht="13.2"/>
    <row r="787" ht="13.2"/>
    <row r="788" ht="13.2"/>
    <row r="789" ht="13.2"/>
    <row r="790" ht="13.2"/>
    <row r="791" ht="13.2"/>
    <row r="792" ht="13.2"/>
    <row r="793" ht="13.2"/>
    <row r="794" ht="13.2"/>
    <row r="795" ht="13.2"/>
    <row r="796" ht="13.2"/>
    <row r="797" ht="13.2"/>
    <row r="798" ht="13.2"/>
    <row r="799" ht="13.2"/>
    <row r="800" ht="13.2"/>
    <row r="801" ht="13.2"/>
    <row r="802" ht="13.2"/>
    <row r="803" ht="13.2"/>
    <row r="804" ht="13.2"/>
    <row r="805" ht="13.2"/>
    <row r="806" ht="13.2"/>
    <row r="807" ht="13.2"/>
    <row r="808" ht="13.2"/>
    <row r="809" ht="13.2"/>
    <row r="810" ht="13.2"/>
    <row r="811" ht="13.2"/>
    <row r="812" ht="13.2"/>
    <row r="813" ht="13.2"/>
    <row r="814" ht="13.2"/>
    <row r="815" ht="13.2"/>
    <row r="816" ht="13.2"/>
    <row r="817" ht="13.2"/>
    <row r="818" ht="13.2"/>
    <row r="819" ht="13.2"/>
    <row r="820" ht="13.2"/>
    <row r="821" ht="13.2"/>
    <row r="822" ht="13.2"/>
    <row r="823" ht="13.2"/>
    <row r="824" ht="13.2"/>
    <row r="825" ht="13.2"/>
    <row r="826" ht="13.2"/>
    <row r="827" ht="13.2"/>
    <row r="828" ht="13.2"/>
    <row r="829" ht="13.2"/>
    <row r="830" ht="13.2"/>
    <row r="831" ht="13.2"/>
    <row r="832" ht="13.2"/>
    <row r="833" ht="13.2"/>
    <row r="834" ht="13.2"/>
    <row r="835" ht="13.2"/>
    <row r="836" ht="13.2"/>
    <row r="837" ht="13.2"/>
    <row r="838" ht="13.2"/>
    <row r="839" ht="13.2"/>
    <row r="840" ht="13.2"/>
    <row r="841" ht="13.2"/>
    <row r="842" ht="13.2"/>
    <row r="843" ht="13.2"/>
    <row r="844" ht="13.2"/>
    <row r="845" ht="13.2"/>
    <row r="846" ht="13.2"/>
    <row r="847" ht="13.2"/>
    <row r="848" ht="13.2"/>
    <row r="849" ht="13.2"/>
    <row r="850" ht="13.2"/>
    <row r="851" ht="13.2"/>
    <row r="852" ht="13.2"/>
    <row r="853" ht="13.2"/>
    <row r="854" ht="13.2"/>
    <row r="855" ht="13.2"/>
    <row r="856" ht="13.2"/>
    <row r="857" ht="13.2"/>
    <row r="858" ht="13.2"/>
    <row r="859" ht="13.2"/>
    <row r="860" ht="13.2"/>
    <row r="861" ht="13.2"/>
    <row r="862" ht="13.2"/>
    <row r="863" ht="13.2"/>
    <row r="864" ht="13.2"/>
    <row r="865" ht="13.2"/>
    <row r="866" ht="13.2"/>
    <row r="867" ht="13.2"/>
    <row r="868" ht="13.2"/>
    <row r="869" ht="13.2"/>
    <row r="870" ht="13.2"/>
    <row r="871" ht="13.2"/>
    <row r="872" ht="13.2"/>
    <row r="873" ht="13.2"/>
    <row r="874" ht="13.2"/>
    <row r="875" ht="13.2"/>
    <row r="876" ht="13.2"/>
    <row r="877" ht="13.2"/>
    <row r="878" ht="13.2"/>
    <row r="879" ht="13.2"/>
    <row r="880" ht="13.2"/>
    <row r="881" ht="13.2"/>
    <row r="882" ht="13.2"/>
    <row r="883" ht="13.2"/>
    <row r="884" ht="13.2"/>
    <row r="885" ht="13.2"/>
    <row r="886" ht="13.2"/>
    <row r="887" ht="13.2"/>
    <row r="888" ht="13.2"/>
    <row r="889" ht="13.2"/>
    <row r="890" ht="13.2"/>
    <row r="891" ht="13.2"/>
    <row r="892" ht="13.2"/>
    <row r="893" ht="13.2"/>
    <row r="894" ht="13.2"/>
    <row r="895" ht="13.2"/>
    <row r="896" ht="13.2"/>
    <row r="897" ht="13.2"/>
    <row r="898" ht="13.2"/>
    <row r="899" ht="13.2"/>
    <row r="900" ht="13.2"/>
    <row r="901" ht="13.2"/>
    <row r="902" ht="13.2"/>
    <row r="903" ht="13.2"/>
    <row r="904" ht="13.2"/>
    <row r="905" ht="13.2"/>
    <row r="906" ht="13.2"/>
    <row r="907" ht="13.2"/>
    <row r="908" ht="13.2"/>
    <row r="909" ht="13.2"/>
    <row r="910" ht="13.2"/>
    <row r="911" ht="13.2"/>
    <row r="912" ht="13.2"/>
    <row r="913" ht="13.2"/>
    <row r="914" ht="13.2"/>
    <row r="915" ht="13.2"/>
    <row r="916" ht="13.2"/>
    <row r="917" ht="13.2"/>
    <row r="918" ht="13.2"/>
    <row r="919" ht="13.2"/>
    <row r="920" ht="13.2"/>
    <row r="921" ht="13.2"/>
    <row r="922" ht="13.2"/>
    <row r="923" ht="13.2"/>
    <row r="924" ht="13.2"/>
    <row r="925" ht="13.2"/>
    <row r="926" ht="13.2"/>
    <row r="927" ht="13.2"/>
    <row r="928" ht="13.2"/>
    <row r="929" ht="13.2"/>
    <row r="930" ht="13.2"/>
    <row r="931" ht="13.2"/>
    <row r="932" ht="13.2"/>
    <row r="933" ht="13.2"/>
    <row r="934" ht="13.2"/>
    <row r="935" ht="13.2"/>
    <row r="936" ht="13.2"/>
    <row r="937" ht="13.2"/>
    <row r="938" ht="13.2"/>
    <row r="939" ht="13.2"/>
    <row r="940" ht="13.2"/>
    <row r="941" ht="13.2"/>
    <row r="942" ht="13.2"/>
    <row r="943" ht="13.2"/>
    <row r="944" ht="13.2"/>
    <row r="945" ht="13.2"/>
    <row r="946" ht="13.2"/>
    <row r="947" ht="13.2"/>
    <row r="948" ht="13.2"/>
    <row r="949" ht="13.2"/>
    <row r="950" ht="13.2"/>
    <row r="951" ht="13.2"/>
    <row r="952" ht="13.2"/>
    <row r="953" ht="13.2"/>
    <row r="954" ht="13.2"/>
    <row r="955" ht="13.2"/>
    <row r="956" ht="13.2"/>
    <row r="957" ht="13.2"/>
    <row r="958" ht="13.2"/>
    <row r="959" ht="13.2"/>
    <row r="960" ht="13.2"/>
    <row r="961" ht="13.2"/>
    <row r="962" ht="13.2"/>
    <row r="963" ht="13.2"/>
    <row r="964" ht="13.2"/>
    <row r="965" ht="13.2"/>
    <row r="966" ht="13.2"/>
    <row r="967" ht="13.2"/>
    <row r="968" ht="13.2"/>
    <row r="969" ht="13.2"/>
    <row r="970" ht="13.2"/>
    <row r="971" ht="13.2"/>
    <row r="972" ht="13.2"/>
    <row r="973" ht="13.2"/>
    <row r="974" ht="13.2"/>
    <row r="975" ht="13.2"/>
    <row r="976" ht="13.2"/>
    <row r="977" ht="13.2"/>
    <row r="978" ht="13.2"/>
    <row r="979" ht="13.2"/>
    <row r="980" ht="13.2"/>
    <row r="981" ht="13.2"/>
    <row r="982" ht="13.2"/>
    <row r="983" ht="13.2"/>
    <row r="984" ht="13.2"/>
    <row r="985" ht="13.2"/>
    <row r="986" ht="13.2"/>
    <row r="987" ht="13.2"/>
    <row r="988" ht="13.2"/>
    <row r="989" ht="13.2"/>
    <row r="990" ht="13.2"/>
    <row r="991" ht="13.2"/>
    <row r="992" ht="13.2"/>
    <row r="993" ht="13.2"/>
    <row r="994" ht="13.2"/>
    <row r="995" ht="13.2"/>
    <row r="996" ht="13.2"/>
    <row r="997" ht="13.2"/>
    <row r="998" ht="13.2"/>
    <row r="999" ht="13.2"/>
    <row r="1000" ht="13.2"/>
    <row r="1001" ht="13.2"/>
    <row r="1002" ht="13.2"/>
  </sheetData>
  <sheetProtection algorithmName="SHA-512" hashValue="iUIM+lzaq8I9+e80yXGRCBwHJKGu812ACRsjQc2vUA4+Ho+ovOMU0x4PBcbSoJ29+20BjnmCuq1P+uFQRsax/w==" saltValue="8UTEzCMpV08FmG2TSpb2XA==" spinCount="100000" sheet="1" selectLockedCells="1" selectUnlockedCells="1"/>
  <conditionalFormatting sqref="H17 H15:I16">
    <cfRule type="cellIs" dxfId="9" priority="34" operator="equal">
      <formula>"X"</formula>
    </cfRule>
  </conditionalFormatting>
  <conditionalFormatting sqref="H19 H18:I18 I17:J17 J16:K16">
    <cfRule type="cellIs" dxfId="8" priority="33" operator="equal">
      <formula>"X"</formula>
    </cfRule>
  </conditionalFormatting>
  <conditionalFormatting sqref="L16 K17:L17 J18:L18 I19:L19">
    <cfRule type="cellIs" dxfId="7" priority="32" operator="equal">
      <formula>"X"</formula>
    </cfRule>
  </conditionalFormatting>
  <conditionalFormatting sqref="K15">
    <cfRule type="cellIs" dxfId="6" priority="31" operator="equal">
      <formula>"X"</formula>
    </cfRule>
  </conditionalFormatting>
  <conditionalFormatting sqref="J15">
    <cfRule type="cellIs" dxfId="5" priority="26" operator="equal">
      <formula>"X"</formula>
    </cfRule>
  </conditionalFormatting>
  <conditionalFormatting sqref="L15">
    <cfRule type="cellIs" dxfId="4" priority="23" operator="equal">
      <formula>"X"</formula>
    </cfRule>
  </conditionalFormatting>
  <conditionalFormatting sqref="S35">
    <cfRule type="cellIs" dxfId="3" priority="3" operator="equal">
      <formula>"X"</formula>
    </cfRule>
  </conditionalFormatting>
  <conditionalFormatting sqref="R35">
    <cfRule type="cellIs" dxfId="2" priority="4" operator="equal">
      <formula>"X"</formula>
    </cfRule>
  </conditionalFormatting>
  <conditionalFormatting sqref="R36">
    <cfRule type="cellIs" dxfId="1" priority="2" operator="equal">
      <formula>"X"</formula>
    </cfRule>
  </conditionalFormatting>
  <conditionalFormatting sqref="S36">
    <cfRule type="cellIs" dxfId="0" priority="1" operator="equal">
      <formula>"X"</formula>
    </cfRule>
  </conditionalFormatting>
  <hyperlinks>
    <hyperlink ref="A2" r:id="rId1" xr:uid="{00000000-0004-0000-0C00-000000000000}"/>
  </hyperlinks>
  <pageMargins left="0.7" right="0.7" top="0.75" bottom="0.75" header="0.3" footer="0.3"/>
  <pageSetup orientation="portrait" r:id="rId2"/>
  <headerFooter>
    <oddHeader>&amp;C&amp;K00B050Vulnerability Assessment Tool, Food Fraud Advisors 2017</oddHeader>
    <oddFooter>&amp;CInsert your company's standard document control features here</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5"/>
  <dimension ref="B1:G44"/>
  <sheetViews>
    <sheetView showGridLines="0" showRowColHeaders="0" zoomScaleNormal="100" workbookViewId="0">
      <selection activeCell="C13" sqref="C13"/>
    </sheetView>
  </sheetViews>
  <sheetFormatPr defaultColWidth="9.109375" defaultRowHeight="13.2"/>
  <cols>
    <col min="1" max="1" width="7" style="1" customWidth="1"/>
    <col min="2" max="2" width="20.109375" style="1" customWidth="1"/>
    <col min="3" max="3" width="20.44140625" style="1" customWidth="1"/>
    <col min="4" max="4" width="18" style="1" customWidth="1"/>
    <col min="5" max="5" width="19.5546875" style="1" customWidth="1"/>
    <col min="6" max="16384" width="9.109375" style="1"/>
  </cols>
  <sheetData>
    <row r="1" spans="2:7" ht="21.6" customHeight="1"/>
    <row r="2" spans="2:7" ht="51" customHeight="1">
      <c r="B2" s="269" t="s">
        <v>183</v>
      </c>
      <c r="C2" s="270"/>
    </row>
    <row r="3" spans="2:7" ht="13.5" customHeight="1">
      <c r="B3" s="271"/>
      <c r="C3" s="270"/>
    </row>
    <row r="4" spans="2:7" ht="32.4" customHeight="1">
      <c r="B4" s="514" t="s">
        <v>209</v>
      </c>
      <c r="C4" s="515"/>
      <c r="D4" s="512" t="s">
        <v>347</v>
      </c>
      <c r="E4" s="513"/>
      <c r="F4" s="222" t="s">
        <v>47</v>
      </c>
    </row>
    <row r="5" spans="2:7" ht="32.25" customHeight="1">
      <c r="B5" s="510" t="s">
        <v>257</v>
      </c>
      <c r="C5" s="511"/>
      <c r="D5" s="512" t="s">
        <v>350</v>
      </c>
      <c r="E5" s="513"/>
      <c r="F5" s="222" t="s">
        <v>47</v>
      </c>
    </row>
    <row r="6" spans="2:7" ht="30.75" customHeight="1">
      <c r="B6" s="509" t="str">
        <f>IF($D$5="product","Product or product group","Ingredient(s) or raw material(s) group")</f>
        <v>Ingredient(s) or raw material(s) group</v>
      </c>
      <c r="C6" s="510"/>
      <c r="D6" s="503" t="s">
        <v>213</v>
      </c>
      <c r="E6" s="504"/>
      <c r="F6" s="505"/>
    </row>
    <row r="7" spans="2:7" ht="32.25" customHeight="1">
      <c r="B7" s="511" t="s">
        <v>31</v>
      </c>
      <c r="C7" s="511"/>
      <c r="D7" s="506" t="s">
        <v>60</v>
      </c>
      <c r="E7" s="507"/>
      <c r="F7" s="508"/>
    </row>
    <row r="8" spans="2:7" ht="45" customHeight="1">
      <c r="B8" s="511" t="str">
        <f>IF(D5="Product","Site(s)","Manufacturing site")</f>
        <v>Manufacturing site</v>
      </c>
      <c r="C8" s="511"/>
      <c r="D8" s="503" t="s">
        <v>188</v>
      </c>
      <c r="E8" s="504"/>
      <c r="F8" s="505"/>
    </row>
    <row r="9" spans="2:7" ht="15">
      <c r="B9" s="272"/>
      <c r="C9" s="15"/>
      <c r="D9" s="14"/>
      <c r="E9" s="15"/>
      <c r="F9" s="14"/>
      <c r="G9" s="4"/>
    </row>
    <row r="10" spans="2:7" ht="27.75" customHeight="1">
      <c r="B10" s="273" t="s">
        <v>2</v>
      </c>
      <c r="C10" s="500" t="s">
        <v>33</v>
      </c>
      <c r="D10" s="501"/>
      <c r="E10" s="501"/>
      <c r="F10" s="502"/>
    </row>
    <row r="11" spans="2:7" ht="26.25" customHeight="1">
      <c r="B11" s="272"/>
      <c r="C11" s="500" t="s">
        <v>32</v>
      </c>
      <c r="D11" s="501"/>
      <c r="E11" s="501"/>
      <c r="F11" s="502"/>
    </row>
    <row r="12" spans="2:7" ht="17.399999999999999">
      <c r="B12" s="274"/>
      <c r="C12" s="26"/>
      <c r="D12" s="26"/>
      <c r="E12" s="26"/>
      <c r="F12" s="26"/>
      <c r="G12" s="4"/>
    </row>
    <row r="13" spans="2:7" ht="15.6">
      <c r="B13" s="273" t="s">
        <v>3</v>
      </c>
      <c r="C13" s="233">
        <f ca="1">TODAY()</f>
        <v>43542</v>
      </c>
      <c r="D13" s="230"/>
      <c r="E13" s="231"/>
      <c r="F13" s="232"/>
      <c r="G13" s="4"/>
    </row>
    <row r="14" spans="2:7" ht="15.6">
      <c r="B14" s="273" t="s">
        <v>7</v>
      </c>
      <c r="C14" s="233">
        <f ca="1">DATE(YEAR(C13)+1,MONTH(C13),DAY(C13))</f>
        <v>43908</v>
      </c>
      <c r="D14" s="231"/>
      <c r="E14" s="231"/>
      <c r="F14" s="232"/>
      <c r="G14" s="39"/>
    </row>
    <row r="15" spans="2:7" ht="13.8" thickBot="1">
      <c r="B15" s="270"/>
      <c r="D15" s="4"/>
      <c r="F15" s="4"/>
      <c r="G15" s="4"/>
    </row>
    <row r="16" spans="2:7" ht="27" thickBot="1">
      <c r="B16" s="275" t="s">
        <v>202</v>
      </c>
      <c r="E16" s="58" t="s">
        <v>17</v>
      </c>
      <c r="F16" s="4"/>
      <c r="G16" s="4"/>
    </row>
    <row r="17" spans="2:7">
      <c r="F17" s="4"/>
      <c r="G17" s="4"/>
    </row>
    <row r="18" spans="2:7" ht="28.5" customHeight="1">
      <c r="B18" s="488" t="s">
        <v>205</v>
      </c>
      <c r="C18" s="489"/>
      <c r="D18" s="490" t="str">
        <f>IF($D$6="Insert name of material or material group here","Insert group name at top of page",$D$6)</f>
        <v>Insert group name at top of page</v>
      </c>
      <c r="E18" s="491"/>
      <c r="F18" s="4"/>
      <c r="G18" s="4"/>
    </row>
    <row r="19" spans="2:7" ht="36.6" customHeight="1">
      <c r="B19" s="492" t="s">
        <v>106</v>
      </c>
      <c r="C19" s="493"/>
      <c r="D19" s="494" t="s">
        <v>253</v>
      </c>
      <c r="E19" s="494"/>
    </row>
    <row r="20" spans="2:7" ht="42.6" customHeight="1">
      <c r="B20" s="498" t="s">
        <v>258</v>
      </c>
      <c r="C20" s="499"/>
      <c r="D20" s="494" t="str">
        <f>IF(D5="product","Not applicable","Briefly describe product range/s that contain this ingredient or raw material.  If you need more space, use product list sheet.")</f>
        <v>Briefly describe product range/s that contain this ingredient or raw material.  If you need more space, use product list sheet.</v>
      </c>
      <c r="E20" s="494"/>
      <c r="F20" s="416" t="s">
        <v>156</v>
      </c>
    </row>
    <row r="21" spans="2:7" ht="37.5" customHeight="1">
      <c r="B21" s="495" t="str">
        <f>IF(D5="product","Product names and/or codes included in this assessment","Material names and/or codes included in this assessment")</f>
        <v>Material names and/or codes included in this assessment</v>
      </c>
      <c r="C21" s="496"/>
      <c r="D21" s="496"/>
      <c r="E21" s="497"/>
    </row>
    <row r="22" spans="2:7">
      <c r="B22" s="17" t="s">
        <v>55</v>
      </c>
      <c r="C22" s="18"/>
      <c r="D22" s="19"/>
      <c r="E22" s="20"/>
    </row>
    <row r="23" spans="2:7">
      <c r="B23" s="21"/>
      <c r="C23" s="21"/>
      <c r="D23" s="19"/>
      <c r="E23" s="20"/>
    </row>
    <row r="24" spans="2:7">
      <c r="B24" s="21"/>
      <c r="C24" s="18"/>
      <c r="D24" s="19"/>
      <c r="E24" s="20"/>
    </row>
    <row r="25" spans="2:7">
      <c r="B25" s="21"/>
      <c r="C25" s="21"/>
      <c r="D25" s="19"/>
      <c r="E25" s="20"/>
    </row>
    <row r="26" spans="2:7">
      <c r="B26" s="21"/>
      <c r="C26" s="18"/>
      <c r="D26" s="19"/>
      <c r="E26" s="20"/>
    </row>
    <row r="27" spans="2:7">
      <c r="B27" s="21"/>
      <c r="C27" s="21"/>
      <c r="D27" s="19"/>
      <c r="E27" s="20"/>
    </row>
    <row r="28" spans="2:7">
      <c r="B28" s="20"/>
      <c r="C28" s="20"/>
      <c r="D28" s="20"/>
      <c r="E28" s="20"/>
    </row>
    <row r="29" spans="2:7">
      <c r="B29" s="22"/>
      <c r="C29" s="22"/>
      <c r="D29" s="22"/>
      <c r="E29" s="22"/>
    </row>
    <row r="30" spans="2:7">
      <c r="B30" s="23"/>
      <c r="C30" s="23"/>
      <c r="D30" s="23"/>
      <c r="E30" s="23"/>
    </row>
    <row r="31" spans="2:7">
      <c r="B31" s="23"/>
      <c r="C31" s="23"/>
      <c r="D31" s="23"/>
      <c r="E31" s="23"/>
    </row>
    <row r="32" spans="2:7">
      <c r="B32" s="23"/>
      <c r="C32" s="23"/>
      <c r="D32" s="23"/>
      <c r="E32" s="23"/>
    </row>
    <row r="33" spans="2:5">
      <c r="B33" s="23"/>
      <c r="C33" s="23"/>
      <c r="D33" s="23"/>
      <c r="E33" s="23"/>
    </row>
    <row r="34" spans="2:5">
      <c r="B34" s="23"/>
      <c r="C34" s="23"/>
      <c r="D34" s="23"/>
      <c r="E34" s="23"/>
    </row>
    <row r="35" spans="2:5">
      <c r="B35" s="23"/>
      <c r="C35" s="23"/>
      <c r="D35" s="23"/>
      <c r="E35" s="23"/>
    </row>
    <row r="36" spans="2:5">
      <c r="B36" s="23"/>
      <c r="C36" s="23"/>
      <c r="D36" s="23"/>
      <c r="E36" s="23"/>
    </row>
    <row r="37" spans="2:5">
      <c r="B37" s="23"/>
      <c r="C37" s="23"/>
      <c r="D37" s="23"/>
      <c r="E37" s="23"/>
    </row>
    <row r="38" spans="2:5">
      <c r="B38" s="23"/>
      <c r="C38" s="23"/>
      <c r="D38" s="23"/>
      <c r="E38" s="23"/>
    </row>
    <row r="39" spans="2:5">
      <c r="B39" s="23"/>
      <c r="C39" s="23"/>
      <c r="D39" s="23"/>
      <c r="E39" s="23"/>
    </row>
    <row r="40" spans="2:5">
      <c r="B40" s="23"/>
      <c r="C40" s="23"/>
      <c r="D40" s="23"/>
      <c r="E40" s="23"/>
    </row>
    <row r="41" spans="2:5">
      <c r="B41" s="23"/>
      <c r="C41" s="23"/>
      <c r="D41" s="23"/>
      <c r="E41" s="23"/>
    </row>
    <row r="42" spans="2:5">
      <c r="B42" s="23"/>
      <c r="C42" s="23"/>
      <c r="D42" s="23"/>
      <c r="E42" s="23"/>
    </row>
    <row r="43" spans="2:5" ht="13.8" thickBot="1"/>
    <row r="44" spans="2:5" ht="27" thickBot="1">
      <c r="B44" s="58" t="s">
        <v>17</v>
      </c>
    </row>
  </sheetData>
  <sheetProtection algorithmName="SHA-512" hashValue="YH376YKIDspGI1HFG36bJEtVIpuePhjj+QJNVcgu+6J68+DeEtXSBUCCbeyCgKXq1Sh0vO1hzg84pBlGFjEHlQ==" saltValue="Iz4WDIg44WwXo8IpfSiRug==" spinCount="100000" sheet="1" formatCells="0" formatColumns="0" formatRows="0" insertColumns="0" insertRows="0" deleteColumns="0" deleteRows="0"/>
  <mergeCells count="19">
    <mergeCell ref="D4:E4"/>
    <mergeCell ref="B4:C4"/>
    <mergeCell ref="B5:C5"/>
    <mergeCell ref="D8:F8"/>
    <mergeCell ref="D5:E5"/>
    <mergeCell ref="B7:C7"/>
    <mergeCell ref="C10:F10"/>
    <mergeCell ref="C11:F11"/>
    <mergeCell ref="D6:F6"/>
    <mergeCell ref="D7:F7"/>
    <mergeCell ref="B6:C6"/>
    <mergeCell ref="B8:C8"/>
    <mergeCell ref="B18:C18"/>
    <mergeCell ref="D18:E18"/>
    <mergeCell ref="B19:C19"/>
    <mergeCell ref="D19:E19"/>
    <mergeCell ref="B21:E21"/>
    <mergeCell ref="B20:C20"/>
    <mergeCell ref="D20:E20"/>
  </mergeCells>
  <dataValidations count="2">
    <dataValidation type="list" errorStyle="warning" allowBlank="1" showInputMessage="1" showErrorMessage="1" error="Choose an option from the dropdown list" sqref="D4:E4" xr:uid="{00000000-0002-0000-0100-000000000000}">
      <formula1>"Initial screening,Full Assessment"</formula1>
    </dataValidation>
    <dataValidation type="list" errorStyle="warning" allowBlank="1" showInputMessage="1" showErrorMessage="1" error="Choose an option from the dropdown list" prompt="Select an option from the dropdown list" sqref="D5:E5" xr:uid="{00000000-0002-0000-0100-000001000000}">
      <formula1>"Product,Ingredient,Raw material"</formula1>
    </dataValidation>
  </dataValidations>
  <hyperlinks>
    <hyperlink ref="E16" location="Instructions!A5" display="Back to Instructions page" xr:uid="{00000000-0004-0000-0100-000000000000}"/>
    <hyperlink ref="F20" location="'Product list'!A1" display="Go to product list sheet" xr:uid="{00000000-0004-0000-0100-000001000000}"/>
    <hyperlink ref="F5" location="Instructions!A169" display="Help" xr:uid="{00000000-0004-0000-0100-000002000000}"/>
    <hyperlink ref="F4" location="Instructions!A169" display="Help" xr:uid="{00000000-0004-0000-0100-000003000000}"/>
    <hyperlink ref="B44" location="Instructions!A5" display="Back to Instructions page" xr:uid="{00000000-0004-0000-0100-000004000000}"/>
  </hyperlinks>
  <pageMargins left="0.25" right="0.25" top="0.75" bottom="0.75" header="0.3" footer="0.3"/>
  <pageSetup paperSize="9" orientation="portrait" r:id="rId1"/>
  <headerFooter>
    <oddHeader>&amp;C&amp;K00B050Vulnerability Assessment Tool, Food Fraud Advisors 2019</oddHeader>
  </headerFooter>
  <drawing r:id="rId2"/>
  <picture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2:U49"/>
  <sheetViews>
    <sheetView showGridLines="0" showRowColHeaders="0" zoomScaleNormal="100" workbookViewId="0">
      <pane ySplit="8" topLeftCell="A9" activePane="bottomLeft" state="frozen"/>
      <selection pane="bottomLeft" activeCell="F10" sqref="F10"/>
    </sheetView>
  </sheetViews>
  <sheetFormatPr defaultColWidth="9.109375" defaultRowHeight="13.2"/>
  <cols>
    <col min="1" max="1" width="9.109375" style="41"/>
    <col min="2" max="2" width="5" style="142" customWidth="1"/>
    <col min="3" max="3" width="17" style="79" customWidth="1"/>
    <col min="4" max="4" width="24.77734375" style="79" customWidth="1"/>
    <col min="5" max="5" width="9.109375" style="79"/>
    <col min="6" max="6" width="16.88671875" style="128" customWidth="1"/>
    <col min="7" max="7" width="11.109375" style="158" hidden="1" customWidth="1"/>
    <col min="8" max="8" width="36.6640625" style="4" hidden="1" customWidth="1"/>
    <col min="9" max="9" width="30.5546875" style="79" customWidth="1"/>
    <col min="10" max="10" width="101.5546875" style="68" customWidth="1"/>
    <col min="11" max="16384" width="9.109375" style="1"/>
  </cols>
  <sheetData>
    <row r="2" spans="2:21" ht="15.6">
      <c r="B2" s="59" t="s">
        <v>167</v>
      </c>
      <c r="C2" s="60"/>
      <c r="D2" s="60"/>
      <c r="E2" s="124"/>
      <c r="F2" s="125"/>
      <c r="G2" s="156"/>
      <c r="H2" s="60"/>
      <c r="I2" s="60"/>
      <c r="J2" s="143"/>
      <c r="M2" s="79"/>
      <c r="P2" s="79"/>
      <c r="R2" s="79"/>
      <c r="U2" s="79"/>
    </row>
    <row r="3" spans="2:21" ht="25.5" customHeight="1">
      <c r="B3" s="61" t="str">
        <f>IF('Scope worksheet'!D6="Insert name of material or material group here","Insert material name on Scope Worksheet",'Scope worksheet'!D6)</f>
        <v>Insert material name on Scope Worksheet</v>
      </c>
      <c r="C3" s="62"/>
      <c r="D3" s="62"/>
      <c r="E3" s="126"/>
      <c r="F3" s="127"/>
      <c r="G3" s="157"/>
      <c r="H3" s="63"/>
      <c r="I3" s="63"/>
      <c r="J3" s="144"/>
      <c r="K3" s="520"/>
      <c r="L3" s="520"/>
      <c r="M3" s="520"/>
      <c r="N3" s="521"/>
      <c r="O3" s="520"/>
      <c r="P3" s="521"/>
      <c r="T3" s="64"/>
    </row>
    <row r="4" spans="2:21" ht="21.75" customHeight="1">
      <c r="B4" s="140" t="str">
        <f>IF('Scope worksheet'!D5="product","Likelihood of food fraud affecting this product","Likelihood of food fraud affecting this ingredient or raw material")</f>
        <v>Likelihood of food fraud affecting this ingredient or raw material</v>
      </c>
      <c r="C4" s="141"/>
      <c r="D4" s="141"/>
      <c r="E4" s="141"/>
      <c r="F4" s="141"/>
      <c r="G4" s="141"/>
      <c r="H4" s="141"/>
      <c r="I4" s="141"/>
      <c r="J4" s="145"/>
      <c r="T4" s="64"/>
    </row>
    <row r="5" spans="2:21" ht="3.75" customHeight="1">
      <c r="C5" s="65"/>
      <c r="D5" s="66"/>
      <c r="E5" s="66"/>
      <c r="I5" s="66"/>
      <c r="J5" s="67"/>
      <c r="K5" s="13"/>
      <c r="L5" s="13"/>
      <c r="T5" s="64"/>
    </row>
    <row r="6" spans="2:21" ht="3.75" customHeight="1">
      <c r="C6" s="66"/>
      <c r="D6" s="66"/>
      <c r="E6" s="66"/>
      <c r="I6" s="66"/>
      <c r="J6" s="67"/>
      <c r="K6" s="13"/>
      <c r="L6" s="13"/>
      <c r="N6" s="13"/>
      <c r="T6" s="64"/>
    </row>
    <row r="7" spans="2:21" ht="3.75" customHeight="1">
      <c r="C7" s="66"/>
      <c r="D7" s="65"/>
      <c r="N7" s="13"/>
      <c r="T7" s="64"/>
    </row>
    <row r="8" spans="2:21" ht="3.75" customHeight="1">
      <c r="C8" s="66"/>
      <c r="D8" s="69"/>
      <c r="N8" s="13"/>
      <c r="T8" s="64"/>
    </row>
    <row r="9" spans="2:21" s="72" customFormat="1" ht="31.5" customHeight="1">
      <c r="B9" s="518" t="s">
        <v>45</v>
      </c>
      <c r="C9" s="519"/>
      <c r="D9" s="70" t="s">
        <v>46</v>
      </c>
      <c r="E9" s="70" t="s">
        <v>47</v>
      </c>
      <c r="F9" s="129" t="s">
        <v>82</v>
      </c>
      <c r="G9" s="123"/>
      <c r="H9" s="123"/>
      <c r="I9" s="71" t="s">
        <v>44</v>
      </c>
      <c r="J9" s="71" t="s">
        <v>48</v>
      </c>
      <c r="T9" s="73"/>
    </row>
    <row r="10" spans="2:21" ht="39.6">
      <c r="B10" s="36" t="s">
        <v>114</v>
      </c>
      <c r="C10" s="36" t="s">
        <v>66</v>
      </c>
      <c r="D10" s="74" t="s">
        <v>185</v>
      </c>
      <c r="E10" s="333" t="s">
        <v>189</v>
      </c>
      <c r="F10" s="305"/>
      <c r="G10" s="159" t="str">
        <f>IF(F10="","",IF(F10="no",0,IF(F10="yes many incidences",5,3)))</f>
        <v/>
      </c>
      <c r="H10" s="134" t="s">
        <v>161</v>
      </c>
      <c r="I10" s="76" t="str">
        <f>IF(ISERROR($G$42),"Warning; an error has occurred. Avoid using cut and paste functions. Press 'undo' or revert to last saved copy to correct the error",IF('Likelihood worksheet'!F10="yes many incidences","This material has been implicated in many previous incidences of food fraud.",IF('Likelihood worksheet'!F10="a few incidences","This material has been implicated in a few previous incidences of food fraud.",IF('Likelihood worksheet'!F10="no","This material has not been implicated in previous incidences of food fraud.",""))))</f>
        <v/>
      </c>
      <c r="J10" s="80"/>
      <c r="T10" s="64"/>
    </row>
    <row r="11" spans="2:21" ht="57.6" customHeight="1">
      <c r="B11" s="36" t="s">
        <v>116</v>
      </c>
      <c r="C11" s="36" t="s">
        <v>67</v>
      </c>
      <c r="D11" s="74" t="s">
        <v>186</v>
      </c>
      <c r="E11" s="333" t="s">
        <v>189</v>
      </c>
      <c r="F11" s="306"/>
      <c r="G11" s="160" t="str">
        <f>IF(F11="","",IF(F11="no",0,1))</f>
        <v/>
      </c>
      <c r="H11" s="134" t="s">
        <v>23</v>
      </c>
      <c r="I11" s="76" t="str">
        <f>IF(ISERROR($G$44),"Warning; an error has occurred. Avoid using cut and paste functions. Press 'undo' or revert to last saved copy to correct the error",IF('Likelihood worksheet'!F11="yes","There have been recent alerts and/or news about food fraud for this material.",IF('Likelihood worksheet'!F11="no","There has been no recent news and no recent alerts about food fraud for this material.","")))</f>
        <v/>
      </c>
      <c r="J11" s="81"/>
      <c r="T11" s="64"/>
    </row>
    <row r="12" spans="2:21" ht="60" customHeight="1">
      <c r="B12" s="36" t="s">
        <v>120</v>
      </c>
      <c r="C12" s="36" t="s">
        <v>41</v>
      </c>
      <c r="D12" s="77" t="s">
        <v>25</v>
      </c>
      <c r="E12" s="333" t="s">
        <v>1</v>
      </c>
      <c r="F12" s="305"/>
      <c r="G12" s="160" t="str">
        <f>IF(F12="","",IF(F12="no",0,IF(F12="somewhat large",0.5,1)))</f>
        <v/>
      </c>
      <c r="H12" s="134" t="s">
        <v>28</v>
      </c>
      <c r="I12" s="76" t="str">
        <f>IF(ISERROR($G$42),"Warning; an error has occurred. Avoid using cut and paste functions. Press 'undo' or revert to last saved copy to correct the error",IF('Likelihood worksheet'!F12="yes very large","The international market for this material has a large monetary value.",IF('Likelihood worksheet'!F12="somewhat large","The international market for this material has a moderately large monetary value.",IF('Likelihood worksheet'!F12="no","The international market for this material does not have a large monetary value.",""))))</f>
        <v/>
      </c>
      <c r="J12" s="81"/>
      <c r="T12" s="64"/>
    </row>
    <row r="13" spans="2:21" ht="26.4">
      <c r="B13" s="36" t="s">
        <v>117</v>
      </c>
      <c r="C13" s="34" t="s">
        <v>0</v>
      </c>
      <c r="D13" s="74" t="s">
        <v>107</v>
      </c>
      <c r="E13" s="333" t="s">
        <v>1</v>
      </c>
      <c r="F13" s="305"/>
      <c r="G13" s="160" t="str">
        <f>IF(F13="","",IF(F13="no",0,IF(F13="somewhat expensive",0.5,1)))</f>
        <v/>
      </c>
      <c r="H13" s="134" t="s">
        <v>40</v>
      </c>
      <c r="I13" s="76" t="str">
        <f>IF(ISERROR($G$44),"Warning; an error has occurred. Avoid using cut and paste functions. Press 'undo' or revert to last saved copy to correct the error",IF('Likelihood worksheet'!F13="yes very expensive","This material is very expensive.",IF('Likelihood worksheet'!F13="somewhat expensive","This material is somewhat expensive.",IF('Likelihood worksheet'!F13="no","This material is not expensive.",""))))</f>
        <v/>
      </c>
      <c r="J13" s="81"/>
      <c r="T13" s="64"/>
    </row>
    <row r="14" spans="2:21" ht="39.6">
      <c r="B14" s="36" t="s">
        <v>118</v>
      </c>
      <c r="C14" s="36" t="s">
        <v>37</v>
      </c>
      <c r="D14" s="135" t="s">
        <v>6</v>
      </c>
      <c r="E14" s="334"/>
      <c r="F14" s="306"/>
      <c r="G14" s="160" t="str">
        <f>IF(F14="","",IF(F14="no",0,1))</f>
        <v/>
      </c>
      <c r="H14" s="134" t="s">
        <v>23</v>
      </c>
      <c r="I14" s="76" t="str">
        <f>IF(ISERROR($G$42),"Warning; an error has occurred. Avoid using cut and paste functions. Press 'undo' or revert to last saved copy to correct the error",IF('Likelihood worksheet'!F14="yes","The price of this material is subject to frequent, large fluctuations.",IF('Likelihood worksheet'!F14="no","The price of this material does not experience frequent, large fluctuations.","")))</f>
        <v/>
      </c>
      <c r="J14" s="81"/>
      <c r="T14" s="64"/>
    </row>
    <row r="15" spans="2:21" ht="39.6">
      <c r="B15" s="36" t="s">
        <v>121</v>
      </c>
      <c r="C15" s="35" t="s">
        <v>38</v>
      </c>
      <c r="D15" s="74" t="s">
        <v>329</v>
      </c>
      <c r="E15" s="333" t="s">
        <v>1</v>
      </c>
      <c r="F15" s="306"/>
      <c r="G15" s="160" t="str">
        <f>IF(F15="","",IF(F15="no",0,1))</f>
        <v/>
      </c>
      <c r="H15" s="134" t="s">
        <v>23</v>
      </c>
      <c r="I15" s="76" t="str">
        <f>IF(ISERROR($G$44),"Warning; an error has occurred. Avoid using cut and paste functions. Press 'undo' or revert to last saved copy to correct the error",IF('Likelihood worksheet'!F15="yes","This material is traded with the price linked to specific properties.",IF('Likelihood worksheet'!F15="no","This material is not traded on specific properties such as protein content.","")))</f>
        <v/>
      </c>
      <c r="J15" s="81"/>
      <c r="T15" s="64"/>
    </row>
    <row r="16" spans="2:21" ht="63.6" customHeight="1">
      <c r="B16" s="36" t="s">
        <v>119</v>
      </c>
      <c r="C16" s="34" t="s">
        <v>65</v>
      </c>
      <c r="D16" s="77" t="s">
        <v>19</v>
      </c>
      <c r="E16" s="333" t="s">
        <v>1</v>
      </c>
      <c r="F16" s="306"/>
      <c r="G16" s="160" t="str">
        <f>IF(F16="","",IF(F16="no",0,1))</f>
        <v/>
      </c>
      <c r="H16" s="134" t="s">
        <v>23</v>
      </c>
      <c r="I16" s="76" t="str">
        <f>IF(ISERROR($G$42),"Warning; an error has occurred. Avoid using cut and paste functions. Press 'undo' or revert to last saved copy to correct the error",IF('Likelihood worksheet'!F16="yes","This material is sourced from countries or regions that are politically unstable and/or very poor.",IF('Likelihood worksheet'!F16="no","This material is not sourced from countries or regions that are politically unstable or very poor.","")))</f>
        <v/>
      </c>
      <c r="J16" s="81"/>
      <c r="P16" s="13"/>
      <c r="T16" s="64"/>
    </row>
    <row r="17" spans="2:20" ht="51" customHeight="1">
      <c r="B17" s="36" t="s">
        <v>115</v>
      </c>
      <c r="C17" s="516" t="s">
        <v>351</v>
      </c>
      <c r="D17" s="517"/>
      <c r="E17" s="407" t="s">
        <v>1</v>
      </c>
      <c r="F17" s="306"/>
      <c r="G17" s="160" t="str">
        <f>IF(F17="","",IF(F17="no",0,1))</f>
        <v/>
      </c>
      <c r="H17" s="134" t="s">
        <v>23</v>
      </c>
      <c r="I17" s="76" t="str">
        <f>IF(ISERROR($G$44),"Warning; an error has occurred. Avoid using cut and paste functions. Press 'undo' or revert to last saved copy to correct the error",IF('Likelihood worksheet'!F17="yes","Purchase the full version to unlock this content",IF('Likelihood worksheet'!F17="no","Purchase the full version to unlock this content","")))</f>
        <v/>
      </c>
      <c r="J17" s="81"/>
      <c r="P17" s="13"/>
      <c r="T17" s="64"/>
    </row>
    <row r="18" spans="2:20" ht="46.8" customHeight="1">
      <c r="B18" s="36" t="s">
        <v>122</v>
      </c>
      <c r="C18" s="516" t="s">
        <v>351</v>
      </c>
      <c r="D18" s="517"/>
      <c r="E18" s="366"/>
      <c r="F18" s="307"/>
      <c r="G18" s="160" t="str">
        <f>IF(F18="","",IF(F18="1 or 2",0,1))</f>
        <v/>
      </c>
      <c r="H18" s="134" t="s">
        <v>85</v>
      </c>
      <c r="I18" s="136" t="str">
        <f>IF(ISERROR($G$42),"Warning; an error has occurred. Avoid using cut and paste functions. Press 'undo' or revert to last saved copy to correct the error",IF('Likelihood worksheet'!F18="1 or 2","Purchase the full version to unlock this content",IF('Likelihood worksheet'!F18="3 or more","Purchase the full version to unlock this content","")))</f>
        <v/>
      </c>
      <c r="J18" s="81"/>
      <c r="P18" s="13"/>
      <c r="T18" s="64"/>
    </row>
    <row r="19" spans="2:20" ht="63" customHeight="1">
      <c r="B19" s="36" t="s">
        <v>123</v>
      </c>
      <c r="C19" s="526" t="s">
        <v>351</v>
      </c>
      <c r="D19" s="527"/>
      <c r="E19" s="333" t="s">
        <v>1</v>
      </c>
      <c r="F19" s="306"/>
      <c r="G19" s="160" t="str">
        <f>IF(F19="","",IF(F19="yes",0,1))</f>
        <v/>
      </c>
      <c r="H19" s="134" t="s">
        <v>24</v>
      </c>
      <c r="I19" s="76" t="str">
        <f>IF(ISERROR($G$44),"Warning; an error has occurred. Avoid using cut and paste functions. Press 'undo' or revert to last saved copy to correct the error",IF('Likelihood worksheet'!F19="yes","Purchase the full version to unlock this content",IF('Likelihood worksheet'!F19="no","Purchase the full version to unlock this content","")))</f>
        <v/>
      </c>
      <c r="J19" s="81"/>
      <c r="T19" s="64"/>
    </row>
    <row r="20" spans="2:20" ht="59.4" customHeight="1">
      <c r="B20" s="36" t="s">
        <v>124</v>
      </c>
      <c r="C20" s="35" t="s">
        <v>20</v>
      </c>
      <c r="D20" s="475" t="s">
        <v>21</v>
      </c>
      <c r="E20" s="333" t="s">
        <v>1</v>
      </c>
      <c r="F20" s="305"/>
      <c r="G20" s="160" t="str">
        <f>IF(F20="","",IF(F20="no",0,IF(F20="somewhat complex",0.5,1)))</f>
        <v/>
      </c>
      <c r="H20" s="134" t="s">
        <v>39</v>
      </c>
      <c r="I20" s="76" t="str">
        <f>IF(ISERROR($G$42),"Warning; an error has occurred. Avoid using cut and paste functions. Press 'undo' or revert to last saved copy to correct the error",IF('Likelihood worksheet'!F20="yes very complex and/or long","The supply chain is very complex and/or long.",IF('Likelihood worksheet'!F20="somewhat complex","The supply chain is somewhat complex or long.",IF('Likelihood worksheet'!F20="no","The supply chain is relatively simple and short.",""))))</f>
        <v/>
      </c>
      <c r="J20" s="81"/>
      <c r="T20" s="64"/>
    </row>
    <row r="21" spans="2:20" ht="64.2" customHeight="1">
      <c r="B21" s="36" t="s">
        <v>125</v>
      </c>
      <c r="C21" s="36" t="s">
        <v>69</v>
      </c>
      <c r="D21" s="77" t="s">
        <v>22</v>
      </c>
      <c r="E21" s="333" t="s">
        <v>1</v>
      </c>
      <c r="F21" s="305"/>
      <c r="G21" s="160" t="str">
        <f>IF(F21="","",IF(F21="no",0,IF(F21="some entry points",0.5,1)))</f>
        <v/>
      </c>
      <c r="H21" s="132" t="s">
        <v>27</v>
      </c>
      <c r="I21" s="76" t="str">
        <f>IF(ISERROR($G$44),"Warning; an error has occurred. Avoid using cut and paste functions. Press 'undo' or revert to last saved copy to correct the error",IF('Likelihood worksheet'!F21="yes many entry points","The supply chain has multiple points at which fraudulent material could enter.",IF('Likelihood worksheet'!F21="some entry points","The supply chain has some points that could allow entry of fraudulent material.",IF('Likelihood worksheet'!F21="no","The supply chain does not have easy entry points for fraudulent material.",""))))</f>
        <v/>
      </c>
      <c r="J21" s="81"/>
      <c r="T21" s="64"/>
    </row>
    <row r="22" spans="2:20" ht="52.8" customHeight="1">
      <c r="B22" s="36" t="s">
        <v>126</v>
      </c>
      <c r="C22" s="516" t="s">
        <v>351</v>
      </c>
      <c r="D22" s="517"/>
      <c r="E22" s="333" t="s">
        <v>1</v>
      </c>
      <c r="F22" s="306"/>
      <c r="G22" s="160" t="str">
        <f>IF(F22="","",IF(F22="no",0,1))</f>
        <v/>
      </c>
      <c r="H22" s="134" t="s">
        <v>23</v>
      </c>
      <c r="I22" s="76" t="str">
        <f>IF(ISERROR($G$42),"Warning; an error has occurred. Avoid using cut and paste functions. Press 'undo' or revert to last saved copy to correct the error",IF('Likelihood worksheet'!F22="yes","Purchase the full version to unlock this content",IF('Likelihood worksheet'!F22="no","Purchase the full version to unlock this content","")))</f>
        <v/>
      </c>
      <c r="J22" s="81"/>
      <c r="T22" s="64"/>
    </row>
    <row r="23" spans="2:20" ht="77.400000000000006" customHeight="1">
      <c r="B23" s="36" t="s">
        <v>127</v>
      </c>
      <c r="C23" s="516" t="s">
        <v>351</v>
      </c>
      <c r="D23" s="517"/>
      <c r="E23" s="333" t="s">
        <v>1</v>
      </c>
      <c r="F23" s="306"/>
      <c r="G23" s="160" t="str">
        <f>IF(F23="","",IF(F23="yes",0,2))</f>
        <v/>
      </c>
      <c r="H23" s="134" t="s">
        <v>162</v>
      </c>
      <c r="I23" s="76" t="str">
        <f>IF(ISERROR($G$44),"Warning; an error has occurred. Avoid using cut and paste functions. Press 'undo' or revert to last saved copy to correct the error",IF('Likelihood worksheet'!F23="yes","Purchase the full version to unlock this content",IF('Likelihood worksheet'!F23="no","Purchase the full version to unlock this content","")))</f>
        <v/>
      </c>
      <c r="J23" s="81"/>
      <c r="T23" s="64"/>
    </row>
    <row r="24" spans="2:20" ht="68.400000000000006" customHeight="1">
      <c r="B24" s="36" t="s">
        <v>128</v>
      </c>
      <c r="C24" s="516" t="s">
        <v>351</v>
      </c>
      <c r="D24" s="517"/>
      <c r="E24" s="366"/>
      <c r="F24" s="308"/>
      <c r="G24" s="132" t="str">
        <f>IF(F24="","",IF(F24="always",0,IF(F24="sometimes",0.5,2)))</f>
        <v/>
      </c>
      <c r="H24" s="132" t="s">
        <v>163</v>
      </c>
      <c r="I24" s="76" t="str">
        <f>IF(ISERROR($G$42),"Warning; an error has occurred. Avoid using cut and paste functions. Press 'undo' or revert to last saved copy to correct the error",IF('Likelihood worksheet'!F24="always","Purchase the full version to unlock this content",IF('Likelihood worksheet'!F24="sometimes","Purchase the full version to unlock this content",IF('Likelihood worksheet'!F24="never","Purchase the full version to unlock this content",""))))</f>
        <v/>
      </c>
      <c r="J24" s="81"/>
      <c r="T24" s="64"/>
    </row>
    <row r="25" spans="2:20" ht="54.6" customHeight="1">
      <c r="B25" s="36" t="s">
        <v>129</v>
      </c>
      <c r="C25" s="516" t="s">
        <v>351</v>
      </c>
      <c r="D25" s="517"/>
      <c r="E25" s="333" t="s">
        <v>1</v>
      </c>
      <c r="F25" s="306"/>
      <c r="G25" s="160" t="str">
        <f>IF(F25="","",IF(F25="no",0,1))</f>
        <v/>
      </c>
      <c r="H25" s="134" t="s">
        <v>23</v>
      </c>
      <c r="I25" s="76" t="str">
        <f>IF(ISERROR($G$44),"Warning; an error has occurred. Avoid using cut and paste functions. Press 'undo' or revert to last saved copy to correct the error",IF('Likelihood worksheet'!F25="yes","Purchase the full version to unlock this content",IF('Likelihood worksheet'!F25="no","Purchase the full version to unlock this content","")))</f>
        <v/>
      </c>
      <c r="J25" s="81"/>
      <c r="T25" s="64"/>
    </row>
    <row r="26" spans="2:20" ht="49.8" customHeight="1">
      <c r="B26" s="36" t="s">
        <v>130</v>
      </c>
      <c r="C26" s="516" t="s">
        <v>351</v>
      </c>
      <c r="D26" s="517"/>
      <c r="E26" s="367"/>
      <c r="F26" s="306"/>
      <c r="G26" s="160" t="str">
        <f>IF(F26="","",IF(F26="yes",0,1))</f>
        <v/>
      </c>
      <c r="H26" s="134" t="s">
        <v>24</v>
      </c>
      <c r="I26" s="136" t="str">
        <f>IF(ISERROR($G$42),"Warning; an error has occurred. Avoid using cut and paste functions. Press 'undo' or revert to last saved copy to correct the error",(IF(AND('Scope worksheet'!D5="product",'Likelihood worksheet'!F26="yes"),"Purchase the full version to unlock this content",(IF(AND('Scope worksheet'!D5="product",'Likelihood worksheet'!F26="no"),"Purchase the full version to unlock this content",IF('Likelihood worksheet'!F26="yes","Purchase the full version to unlock this content",IF('Likelihood worksheet'!F26="no","Purchase the full version to unlock this content","")))))))</f>
        <v/>
      </c>
      <c r="J26" s="189"/>
      <c r="T26" s="64"/>
    </row>
    <row r="27" spans="2:20" ht="79.8" customHeight="1">
      <c r="B27" s="36" t="s">
        <v>131</v>
      </c>
      <c r="C27" s="516" t="s">
        <v>351</v>
      </c>
      <c r="D27" s="517"/>
      <c r="E27" s="366"/>
      <c r="F27" s="308"/>
      <c r="G27" s="159" t="str">
        <f>IF(F27="","",IF(F27="yes",0,IF(F27="no",0.25,1)))</f>
        <v/>
      </c>
      <c r="H27" s="134" t="s">
        <v>164</v>
      </c>
      <c r="I27" s="76" t="str">
        <f>IF(ISERROR($G$44),"Warning; an error has occurred. Avoid using cut and paste functions. Press 'undo' or revert to last saved copy to correct the error",IF('Likelihood worksheet'!F27="yes","Purchase the full version to unlock this content",IF('Likelihood worksheet'!F27="no","Purchase the full version to unlock this content",IF('Likelihood worksheet'!F27="not applicable","TPurchase the full version to unlock this content.",""))))</f>
        <v/>
      </c>
      <c r="J27" s="189"/>
      <c r="T27" s="64"/>
    </row>
    <row r="28" spans="2:20" ht="79.8" customHeight="1">
      <c r="B28" s="36" t="s">
        <v>132</v>
      </c>
      <c r="C28" s="516" t="s">
        <v>351</v>
      </c>
      <c r="D28" s="517"/>
      <c r="E28" s="366"/>
      <c r="F28" s="308"/>
      <c r="G28" s="159" t="str">
        <f>IF(F28="","",IF(F28="yes",0,IF(F28="no",0.25,1)))</f>
        <v/>
      </c>
      <c r="H28" s="134" t="s">
        <v>164</v>
      </c>
      <c r="I28" s="76" t="str">
        <f>IF(ISERROR($G$42),"Warning; an error has occurred. Avoid using cut and paste functions. Press 'undo' or revert to last saved copy to correct the error",IF('Likelihood worksheet'!F28="yes","Purchase the full version to unlock this content",IF('Likelihood worksheet'!F28="no","Purchase the full version to unlock this content",IF('Likelihood worksheet'!F28="not applicable","Purchase the full version to unlock this content",""))))</f>
        <v/>
      </c>
      <c r="J28" s="81"/>
      <c r="T28" s="64"/>
    </row>
    <row r="29" spans="2:20" ht="114" customHeight="1">
      <c r="B29" s="454" t="s">
        <v>335</v>
      </c>
      <c r="C29" s="516" t="s">
        <v>351</v>
      </c>
      <c r="D29" s="517"/>
      <c r="E29" s="333" t="s">
        <v>1</v>
      </c>
      <c r="F29" s="305"/>
      <c r="G29" s="159" t="str">
        <f>IF(F29="","",IF(F29="no",0,2))</f>
        <v/>
      </c>
      <c r="H29" s="134" t="s">
        <v>315</v>
      </c>
      <c r="I29" s="76" t="str">
        <f>IF(ISERROR($G$44),"Warning; an error has occurred. Avoid using cut and paste functions. Press 'undo' or revert to last saved copy to correct the error",IF('Likelihood worksheet'!F29="yes","Purchase the full version to unlock this content",IF('Likelihood worksheet'!F29="no","Purchase the full version to unlock this content",IF('Likelihood worksheet'!F29="don't know","Purchase the full version to unlock this content",""))))</f>
        <v/>
      </c>
      <c r="J29" s="81"/>
      <c r="T29" s="64"/>
    </row>
    <row r="30" spans="2:20" ht="51" customHeight="1">
      <c r="B30" s="36" t="s">
        <v>134</v>
      </c>
      <c r="C30" s="34" t="s">
        <v>68</v>
      </c>
      <c r="D30" s="135" t="s">
        <v>42</v>
      </c>
      <c r="E30" s="333" t="s">
        <v>1</v>
      </c>
      <c r="F30" s="308"/>
      <c r="G30" s="133">
        <f>IF(F30="",0.01,IF(F30="yes all suppliers are audited",0,IF(F30="some suppliers are audited",0.5,1)))</f>
        <v>0.01</v>
      </c>
      <c r="H30" s="132" t="s">
        <v>43</v>
      </c>
      <c r="I30" s="136" t="str">
        <f>IF(ISERROR($G$42),"Warning; an error has occurred. Avoid using cut and paste functions. Press 'undo' or revert to last saved copy to correct the error",IF('Likelihood worksheet'!F30="yes all suppliers are audited","All suppliers in the supply chain of this material are audited by our business or by third parties.",IF('Likelihood worksheet'!F30="some suppliers are audited","Some parts of the supply chain of this material are audited by our business or by third parties.",IF('Likelihood worksheet'!F30="no","The supply chain of this material is not audited.",""))))</f>
        <v/>
      </c>
      <c r="J30" s="81"/>
      <c r="T30" s="64"/>
    </row>
    <row r="31" spans="2:20" ht="100.2" customHeight="1">
      <c r="B31" s="36" t="s">
        <v>135</v>
      </c>
      <c r="C31" s="516" t="s">
        <v>351</v>
      </c>
      <c r="D31" s="517"/>
      <c r="E31" s="333" t="s">
        <v>1</v>
      </c>
      <c r="F31" s="308"/>
      <c r="G31" s="132">
        <f>IF(F31="",0.01,IF(F31="yes all suppliers",0,IF(F31="some suppliers",0.5,1)))</f>
        <v>0.01</v>
      </c>
      <c r="H31" s="132" t="s">
        <v>26</v>
      </c>
      <c r="I31" s="76" t="str">
        <f>IF(ISERROR($G$44),"Warning; an error has occurred. Avoid using cut and paste functions. Press 'undo' or revert to last saved copy to correct the error",IF('Likelihood worksheet'!F31="yes all suppliers","Purchase the full version to unlock this content",IF('Likelihood worksheet'!F31="some suppliers","Purchase the full version to unlock this content",IF('Likelihood worksheet'!F31="no","Purchase the full version to unlock this content",""))))</f>
        <v/>
      </c>
      <c r="J31" s="81"/>
      <c r="T31" s="64"/>
    </row>
    <row r="32" spans="2:20" ht="39.6" customHeight="1">
      <c r="B32" s="36" t="s">
        <v>136</v>
      </c>
      <c r="C32" s="516" t="s">
        <v>351</v>
      </c>
      <c r="D32" s="517"/>
      <c r="E32" s="368"/>
      <c r="F32" s="306"/>
      <c r="G32" s="160" t="str">
        <f>IF(F32="","",IF(F32="yes",0,3))</f>
        <v/>
      </c>
      <c r="H32" s="134" t="s">
        <v>165</v>
      </c>
      <c r="I32" s="136" t="str">
        <f>IF(ISERROR($G$42),"Warning; an error has occurred. Avoid using cut and paste functions. Press 'undo' or revert to last saved copy to correct the error",IF('Likelihood worksheet'!F32="yes","Purchase the full version to unlock this content",IF('Likelihood worksheet'!F32="no","Purchase the full version to unlock this content","")))</f>
        <v/>
      </c>
      <c r="J32" s="81"/>
      <c r="T32" s="64"/>
    </row>
    <row r="33" spans="2:20" ht="101.4" customHeight="1">
      <c r="B33" s="454" t="s">
        <v>336</v>
      </c>
      <c r="C33" s="516" t="s">
        <v>351</v>
      </c>
      <c r="D33" s="517"/>
      <c r="E33" s="333" t="s">
        <v>1</v>
      </c>
      <c r="F33" s="308"/>
      <c r="G33" s="132" t="str">
        <f>IF(F33="","",IF(F33="yes frequent robust testing",0,IF(F33="occasional testing",0.5,1)))</f>
        <v/>
      </c>
      <c r="H33" s="132" t="s">
        <v>24</v>
      </c>
      <c r="I33" s="136" t="str">
        <f>IF(ISERROR($G$44),"Warning; an error has occurred. Avoid using cut and paste functions. Press 'undo' or revert to last saved copy to correct the error",IF('Likelihood worksheet'!F33="yes frequent robust testing","Purchase the full version to unlock this content",IF('Likelihood worksheet'!F33="occasional testing","Purchase the full version to unlock this content",IF('Likelihood worksheet'!F33="no","Purchase the full version to unlock this content",""))))</f>
        <v/>
      </c>
      <c r="J33" s="81"/>
      <c r="T33" s="64"/>
    </row>
    <row r="34" spans="2:20" ht="78" customHeight="1">
      <c r="B34" s="454" t="s">
        <v>337</v>
      </c>
      <c r="C34" s="36" t="s">
        <v>316</v>
      </c>
      <c r="D34" s="74" t="s">
        <v>318</v>
      </c>
      <c r="E34" s="333" t="s">
        <v>1</v>
      </c>
      <c r="F34" s="308"/>
      <c r="G34" s="132" t="str">
        <f>IF(F34="","",IF(F34="yes very well protected",0,IF(F34="somewhat protected",0.5,1)))</f>
        <v/>
      </c>
      <c r="H34" s="132" t="s">
        <v>317</v>
      </c>
      <c r="I34" s="76" t="str">
        <f>IF(ISERROR($G$42),"Warning; an error has occurred. Avoid using cut and paste functions. Press 'undo' or revert to last saved copy to correct the error",IF('Likelihood worksheet'!F34="yes very well protected","This material is well protected from insider-perpetrated theft and other food fraud (for economic gain), while on this site.",IF('Likelihood worksheet'!F34="somewhat protected","This material is partially protected from insider-perpetrated theft and other food fraud (for economic gain), while on this site.",IF('Likelihood worksheet'!F34="no","This material is not adequately protected from insider-perpetrated theft and other food fraud (for economic gain) while on this site.",""))))</f>
        <v/>
      </c>
      <c r="J34" s="81"/>
      <c r="T34" s="64"/>
    </row>
    <row r="35" spans="2:20" ht="49.8" customHeight="1">
      <c r="B35" s="454" t="s">
        <v>338</v>
      </c>
      <c r="C35" s="516" t="s">
        <v>351</v>
      </c>
      <c r="D35" s="517"/>
      <c r="E35" s="75" t="s">
        <v>1</v>
      </c>
      <c r="F35" s="308"/>
      <c r="G35" s="132" t="str">
        <f>IF(F35="","",IF(F35="yes very well protected",0,IF(F35="somewhat protected",0.5,1)))</f>
        <v/>
      </c>
      <c r="H35" s="132" t="s">
        <v>317</v>
      </c>
      <c r="I35" s="76" t="str">
        <f>IF(ISERROR($G$44),"Warning; an error has occurred. Avoid using cut and paste functions. Press 'undo' or revert to last saved copy to correct the error",IF('Likelihood worksheet'!F35="","","Purchase the full version to unlock this content"))</f>
        <v/>
      </c>
      <c r="J35" s="81"/>
      <c r="T35" s="64"/>
    </row>
    <row r="36" spans="2:20" ht="96" customHeight="1">
      <c r="B36" s="454" t="s">
        <v>339</v>
      </c>
      <c r="C36" s="516" t="s">
        <v>351</v>
      </c>
      <c r="D36" s="517"/>
      <c r="E36" s="75" t="s">
        <v>1</v>
      </c>
      <c r="F36" s="308"/>
      <c r="G36" s="132" t="str">
        <f>IF(F36="","",IF(F36="no not a desirable target",0,IF(F36="no not an easy target",0,IF(F36="not applicable (ingredient)",0,IF(F36="somewhat desirable or easy",0.5,1)))))</f>
        <v/>
      </c>
      <c r="H36" s="132" t="s">
        <v>325</v>
      </c>
      <c r="I36" s="76" t="str">
        <f>IF(ISERROR($G$42),"Warning; an error has occurred. Avoid using cut and paste functions. Press 'undo' or revert to last saved copy to correct the error",IF('Likelihood worksheet'!F36="","","Purchase the full version to unlock this content"))</f>
        <v/>
      </c>
      <c r="J36" s="81"/>
      <c r="T36" s="64"/>
    </row>
    <row r="37" spans="2:20" ht="75" customHeight="1">
      <c r="B37" s="454" t="s">
        <v>340</v>
      </c>
      <c r="C37" s="516" t="s">
        <v>351</v>
      </c>
      <c r="D37" s="517"/>
      <c r="E37" s="333" t="s">
        <v>1</v>
      </c>
      <c r="F37" s="308"/>
      <c r="G37" s="132" t="str">
        <f>IF(F37="","",IF(F37="no",0,IF(F37="not applicable (ingredient)",0,IF(F37="somewhat desirable",0.5,1))))</f>
        <v/>
      </c>
      <c r="H37" s="132" t="s">
        <v>326</v>
      </c>
      <c r="I37" s="76" t="str">
        <f>IF(ISERROR($G$44),"Warning; an error has occurred. Avoid using cut and paste functions. Press 'undo' or revert to last saved copy to correct the error",IF('Likelihood worksheet'!F37="","","Purchase the full version to unlock this content"))</f>
        <v/>
      </c>
      <c r="J37" s="81"/>
      <c r="T37" s="64"/>
    </row>
    <row r="38" spans="2:20" ht="29.4" hidden="1" customHeight="1">
      <c r="C38" s="446" t="s">
        <v>330</v>
      </c>
      <c r="D38" s="139"/>
      <c r="E38" s="139"/>
      <c r="F38" s="419">
        <f>IF(G33=0,-20,0)</f>
        <v>0</v>
      </c>
      <c r="G38" s="439">
        <f>IF(SUM(G30:G31)=0,-20,0)</f>
        <v>0</v>
      </c>
      <c r="H38" s="132" t="s">
        <v>320</v>
      </c>
      <c r="I38" s="438" t="s">
        <v>166</v>
      </c>
      <c r="J38" s="420"/>
      <c r="T38" s="64"/>
    </row>
    <row r="39" spans="2:20" ht="29.4" hidden="1" customHeight="1">
      <c r="C39" s="440" t="s">
        <v>321</v>
      </c>
      <c r="D39" s="139"/>
      <c r="E39" s="139"/>
      <c r="F39" s="419"/>
      <c r="G39" s="133">
        <f>(IF((SUM(G10:G33)/COUNT(G10:G33)*100)&gt;100,100,SUM(G10:G33)/COUNT(G10:G33)*100))+G38+F38</f>
        <v>1</v>
      </c>
      <c r="H39" s="131" t="str">
        <f>IF(AND(G39&gt;=-40,G39&lt;=20),"Very unlikely",IF(AND(G39&gt;20,G39&lt;=40),"Unlikely",IF(AND(G39&gt;40,G39&lt;=60),"Fairly likely",IF(AND(G39&gt;60,G39&lt;=80),"Likely",IF(AND(G39&gt;80,G39&lt;=100),"Very likely/certain","ERROR")))))</f>
        <v>Very unlikely</v>
      </c>
      <c r="I39" s="438"/>
      <c r="J39" s="420"/>
      <c r="T39" s="64"/>
    </row>
    <row r="40" spans="2:20" ht="29.4" hidden="1" customHeight="1">
      <c r="C40" s="440" t="s">
        <v>322</v>
      </c>
      <c r="D40" s="139"/>
      <c r="E40" s="139"/>
      <c r="F40" s="419"/>
      <c r="G40" s="133">
        <f>IF(OR(G34=1,G35=1),75,IF(OR(G34=0.5,G35=0.5),50,0))</f>
        <v>0</v>
      </c>
      <c r="H40" s="131" t="str">
        <f>IF(G40&gt;=50," *NOTE: Material is vulnerable while on this site","")</f>
        <v/>
      </c>
      <c r="I40" s="438"/>
      <c r="J40" s="420"/>
      <c r="T40" s="64"/>
    </row>
    <row r="41" spans="2:20" ht="29.4" hidden="1" customHeight="1">
      <c r="C41" s="440" t="s">
        <v>323</v>
      </c>
      <c r="D41" s="139"/>
      <c r="E41" s="139"/>
      <c r="F41" s="419"/>
      <c r="G41" s="133">
        <f>IF(OR(G36=1,G37=1),75,IF(OR(G36=0.5,G37=0.5),50,0))</f>
        <v>0</v>
      </c>
      <c r="H41" s="131" t="str">
        <f>IF(AND(G39&lt;=40,G40&lt;=40,G41&gt;=50)," *NOTE: Product is most likely to be affected after it has left this site","")</f>
        <v/>
      </c>
      <c r="I41" s="438"/>
      <c r="J41" s="420"/>
      <c r="T41" s="64"/>
    </row>
    <row r="42" spans="2:20" ht="29.4" hidden="1" customHeight="1">
      <c r="C42" s="440" t="s">
        <v>328</v>
      </c>
      <c r="D42" s="139"/>
      <c r="E42" s="139"/>
      <c r="F42" s="419"/>
      <c r="G42" s="133">
        <f>(IF((SUM(G10:G37)/COUNT(G10:G37)*100)&gt;100,100,SUM(G10:G37)/COUNT(G10:G37)*100))+G38+F38</f>
        <v>1</v>
      </c>
      <c r="H42" s="131" t="str">
        <f>IF(AND(G42&gt;=-40,G42&lt;=20),"Very unlikely",IF(AND(G42&gt;20,G42&lt;=40),"Unlikely",IF(AND(G42&gt;40,G42&lt;=60),"Fairly likely",IF(AND(G42&gt;60,G42&lt;=80),"Likely",IF(AND(G42&gt;80,G42&lt;=100),"Very likely/certain","ERROR")))))</f>
        <v>Very unlikely</v>
      </c>
      <c r="I42" s="438"/>
      <c r="J42" s="420"/>
      <c r="T42" s="64"/>
    </row>
    <row r="43" spans="2:20" ht="58.95" hidden="1" customHeight="1">
      <c r="C43" s="440" t="s">
        <v>327</v>
      </c>
      <c r="D43" s="442"/>
      <c r="E43" s="443"/>
      <c r="F43" s="438">
        <f>G43</f>
        <v>1</v>
      </c>
      <c r="G43" s="133">
        <f>LARGE(G39:G41,1)</f>
        <v>1</v>
      </c>
      <c r="H43" s="131" t="str">
        <f>IF(AND(G43&gt;=-40,G43&lt;=20),"Very unlikely",IF(AND(G43&gt;20,G43&lt;=40),"Unlikely",IF(AND(G43&gt;40,G43&lt;=60),"Fairly likely",IF(AND(G43&gt;60,G43&lt;=80),"Likely",IF(AND(G43&gt;80,G43&lt;=100),"Very likely/certain","ERROR")))))</f>
        <v>Very unlikely</v>
      </c>
      <c r="I43" s="438" t="s">
        <v>166</v>
      </c>
      <c r="J43" s="304"/>
    </row>
    <row r="44" spans="2:20" ht="49.8" customHeight="1">
      <c r="B44" s="36" t="s">
        <v>331</v>
      </c>
      <c r="C44" s="36" t="s">
        <v>8</v>
      </c>
      <c r="D44" s="77" t="s">
        <v>61</v>
      </c>
      <c r="E44" s="75" t="s">
        <v>1</v>
      </c>
      <c r="F44" s="130" t="str">
        <f>G44</f>
        <v>Very unlikely (calculated)</v>
      </c>
      <c r="G44" s="133" t="str">
        <f>IF(AND(G43&gt;=-40,G43&lt;=20),"Very unlikely (calculated)",IF(AND(G43&gt;20,G43&lt;=40),"Unlikely (calculated)",IF(AND(G43&gt;40,G43&lt;=60),"Fairly likely (calculated)",IF(AND(G43&gt;60,G43&lt;=80),"Likely (calculated)",IF(AND(G43&gt;80,G43&lt;=100),"Very likely/certain (calculated)","ERROR")))))</f>
        <v>Very unlikely (calculated)</v>
      </c>
      <c r="H44" s="134" t="s">
        <v>30</v>
      </c>
      <c r="I44" s="522" t="str">
        <f>IF(ISERROR($G$43),"Warning; an error has occurred. Avoid using cut and paste functions. Press 'undo' or revert to last saved copy to correct the error",H45)</f>
        <v>Very unlikely to be affected</v>
      </c>
      <c r="J44" s="524" t="s">
        <v>199</v>
      </c>
      <c r="K44" s="13"/>
    </row>
    <row r="45" spans="2:20" ht="82.2" customHeight="1">
      <c r="B45" s="36" t="s">
        <v>332</v>
      </c>
      <c r="C45" s="36" t="s">
        <v>102</v>
      </c>
      <c r="D45" s="74" t="s">
        <v>235</v>
      </c>
      <c r="E45" s="74"/>
      <c r="F45" s="308"/>
      <c r="G45" s="133" t="str">
        <f>IF(F45="",H43,F45)</f>
        <v>Very unlikely</v>
      </c>
      <c r="H45" s="131" t="str">
        <f>IF(G45="Very unlikely","Very unlikely to be affected",IF(G45="Unlikely","Unlikely to be affected",IF(G45="Fairly likely","Fairly likely to be affected",IF(G45="Likely","Likely to be affected",IF(G45="Very likely/certain","Very likely/certain to be affected",error)))))</f>
        <v>Very unlikely to be affected</v>
      </c>
      <c r="I45" s="523"/>
      <c r="J45" s="525"/>
    </row>
    <row r="46" spans="2:20" ht="22.5" customHeight="1" thickBot="1">
      <c r="C46" s="78"/>
      <c r="D46" s="69"/>
      <c r="E46" s="69"/>
    </row>
    <row r="47" spans="2:20" ht="27" thickBot="1">
      <c r="C47" s="58" t="s">
        <v>17</v>
      </c>
      <c r="D47" s="441" t="str">
        <f>H40&amp;" "&amp;H41</f>
        <v xml:space="preserve"> </v>
      </c>
    </row>
    <row r="48" spans="2:20" ht="13.8" thickBot="1"/>
    <row r="49" spans="3:3" ht="38.4" customHeight="1" thickBot="1">
      <c r="C49" s="58" t="s">
        <v>294</v>
      </c>
    </row>
  </sheetData>
  <sheetProtection algorithmName="SHA-512" hashValue="RttBzF0SfgHTGGEPPtHs/T7GX6n3yve0L9elTiVlFw8R39CWxnUEns75CfGAwD2+yV5KS3KL00k0M9Y8nDrUzg==" saltValue="dlTYT7b54RqgIRTt3be7Wg==" spinCount="100000" sheet="1" formatColumns="0" selectLockedCells="1"/>
  <mergeCells count="23">
    <mergeCell ref="B9:C9"/>
    <mergeCell ref="K3:L3"/>
    <mergeCell ref="M3:N3"/>
    <mergeCell ref="O3:P3"/>
    <mergeCell ref="I44:I45"/>
    <mergeCell ref="J44:J45"/>
    <mergeCell ref="C17:D17"/>
    <mergeCell ref="C18:D18"/>
    <mergeCell ref="C19:D19"/>
    <mergeCell ref="C22:D22"/>
    <mergeCell ref="C28:D28"/>
    <mergeCell ref="C27:D27"/>
    <mergeCell ref="C23:D23"/>
    <mergeCell ref="C24:D24"/>
    <mergeCell ref="C25:D25"/>
    <mergeCell ref="C26:D26"/>
    <mergeCell ref="C35:D35"/>
    <mergeCell ref="C36:D36"/>
    <mergeCell ref="C37:D37"/>
    <mergeCell ref="C29:D29"/>
    <mergeCell ref="C31:D31"/>
    <mergeCell ref="C32:D32"/>
    <mergeCell ref="C33:D33"/>
  </mergeCells>
  <conditionalFormatting sqref="I43">
    <cfRule type="cellIs" dxfId="165" priority="296" operator="equal">
      <formula>"Warning! A serious error has occurred. Press 'undo' or revert to last saved copy to correct the error"</formula>
    </cfRule>
  </conditionalFormatting>
  <conditionalFormatting sqref="I10:I45">
    <cfRule type="cellIs" dxfId="164" priority="294" operator="equal">
      <formula>"Warning; an error has occurred. Avoid using cut and paste functions. Press 'undo' or revert to last saved copy to correct the error"</formula>
    </cfRule>
  </conditionalFormatting>
  <conditionalFormatting sqref="F18">
    <cfRule type="cellIs" dxfId="163" priority="283" operator="equal">
      <formula>"3 or more"</formula>
    </cfRule>
  </conditionalFormatting>
  <conditionalFormatting sqref="F18">
    <cfRule type="cellIs" dxfId="162" priority="284" operator="equal">
      <formula>"1 or 2"</formula>
    </cfRule>
  </conditionalFormatting>
  <conditionalFormatting sqref="F13">
    <cfRule type="cellIs" dxfId="161" priority="151" operator="equal">
      <formula>"no"</formula>
    </cfRule>
  </conditionalFormatting>
  <conditionalFormatting sqref="F13">
    <cfRule type="cellIs" dxfId="160" priority="152" operator="equal">
      <formula>"somewhat expensive"</formula>
    </cfRule>
  </conditionalFormatting>
  <conditionalFormatting sqref="F13">
    <cfRule type="cellIs" dxfId="159" priority="153" operator="equal">
      <formula>"yes very expensive"</formula>
    </cfRule>
  </conditionalFormatting>
  <conditionalFormatting sqref="F12">
    <cfRule type="cellIs" dxfId="158" priority="146" operator="equal">
      <formula>"no"</formula>
    </cfRule>
  </conditionalFormatting>
  <conditionalFormatting sqref="F12">
    <cfRule type="cellIs" dxfId="157" priority="147" operator="equal">
      <formula>"somewhat large"</formula>
    </cfRule>
  </conditionalFormatting>
  <conditionalFormatting sqref="F12">
    <cfRule type="cellIs" dxfId="156" priority="148" operator="equal">
      <formula>"yes very large"</formula>
    </cfRule>
  </conditionalFormatting>
  <conditionalFormatting sqref="F23">
    <cfRule type="cellIs" dxfId="155" priority="142" operator="equal">
      <formula>"no"</formula>
    </cfRule>
  </conditionalFormatting>
  <conditionalFormatting sqref="F23">
    <cfRule type="cellIs" dxfId="154" priority="143" operator="equal">
      <formula>"yes"</formula>
    </cfRule>
  </conditionalFormatting>
  <conditionalFormatting sqref="F17">
    <cfRule type="cellIs" dxfId="153" priority="138" operator="equal">
      <formula>"yes"</formula>
    </cfRule>
  </conditionalFormatting>
  <conditionalFormatting sqref="F17">
    <cfRule type="cellIs" dxfId="152" priority="139" operator="equal">
      <formula>"no"</formula>
    </cfRule>
  </conditionalFormatting>
  <conditionalFormatting sqref="F25">
    <cfRule type="cellIs" dxfId="151" priority="134" operator="equal">
      <formula>"yes"</formula>
    </cfRule>
  </conditionalFormatting>
  <conditionalFormatting sqref="F25">
    <cfRule type="cellIs" dxfId="150" priority="135" operator="equal">
      <formula>"no"</formula>
    </cfRule>
  </conditionalFormatting>
  <conditionalFormatting sqref="F22">
    <cfRule type="cellIs" dxfId="149" priority="128" operator="equal">
      <formula>"yes"</formula>
    </cfRule>
  </conditionalFormatting>
  <conditionalFormatting sqref="F22">
    <cfRule type="cellIs" dxfId="148" priority="129" operator="equal">
      <formula>"no"</formula>
    </cfRule>
  </conditionalFormatting>
  <conditionalFormatting sqref="F21">
    <cfRule type="cellIs" dxfId="147" priority="122" operator="equal">
      <formula>"no"</formula>
    </cfRule>
  </conditionalFormatting>
  <conditionalFormatting sqref="F21">
    <cfRule type="cellIs" dxfId="146" priority="123" operator="equal">
      <formula>"some entry points"</formula>
    </cfRule>
  </conditionalFormatting>
  <conditionalFormatting sqref="F21">
    <cfRule type="cellIs" dxfId="145" priority="124" operator="equal">
      <formula>"yes many entry points"</formula>
    </cfRule>
  </conditionalFormatting>
  <conditionalFormatting sqref="F20">
    <cfRule type="cellIs" dxfId="144" priority="119" operator="equal">
      <formula>"no"</formula>
    </cfRule>
  </conditionalFormatting>
  <conditionalFormatting sqref="F20">
    <cfRule type="cellIs" dxfId="143" priority="120" operator="equal">
      <formula>"somewhat complex"</formula>
    </cfRule>
  </conditionalFormatting>
  <conditionalFormatting sqref="F20">
    <cfRule type="cellIs" dxfId="142" priority="121" operator="equal">
      <formula>"yes very complex and/or long"</formula>
    </cfRule>
  </conditionalFormatting>
  <conditionalFormatting sqref="F19">
    <cfRule type="cellIs" dxfId="141" priority="117" operator="equal">
      <formula>"no"</formula>
    </cfRule>
  </conditionalFormatting>
  <conditionalFormatting sqref="F19">
    <cfRule type="cellIs" dxfId="140" priority="118" operator="equal">
      <formula>"yes"</formula>
    </cfRule>
  </conditionalFormatting>
  <conditionalFormatting sqref="F15">
    <cfRule type="cellIs" dxfId="139" priority="115" operator="equal">
      <formula>"yes"</formula>
    </cfRule>
  </conditionalFormatting>
  <conditionalFormatting sqref="F15">
    <cfRule type="cellIs" dxfId="138" priority="116" operator="equal">
      <formula>"no"</formula>
    </cfRule>
  </conditionalFormatting>
  <conditionalFormatting sqref="F16">
    <cfRule type="cellIs" dxfId="137" priority="113" operator="equal">
      <formula>"yes"</formula>
    </cfRule>
  </conditionalFormatting>
  <conditionalFormatting sqref="F16">
    <cfRule type="cellIs" dxfId="136" priority="114" operator="equal">
      <formula>"no"</formula>
    </cfRule>
  </conditionalFormatting>
  <conditionalFormatting sqref="F14">
    <cfRule type="cellIs" dxfId="135" priority="111" operator="equal">
      <formula>"yes"</formula>
    </cfRule>
  </conditionalFormatting>
  <conditionalFormatting sqref="F14">
    <cfRule type="cellIs" dxfId="134" priority="112" operator="equal">
      <formula>"no"</formula>
    </cfRule>
  </conditionalFormatting>
  <conditionalFormatting sqref="F11">
    <cfRule type="cellIs" dxfId="133" priority="109" operator="equal">
      <formula>"yes"</formula>
    </cfRule>
  </conditionalFormatting>
  <conditionalFormatting sqref="F11">
    <cfRule type="cellIs" dxfId="132" priority="110" operator="equal">
      <formula>"no"</formula>
    </cfRule>
  </conditionalFormatting>
  <conditionalFormatting sqref="F10">
    <cfRule type="cellIs" dxfId="131" priority="106" operator="equal">
      <formula>"no"</formula>
    </cfRule>
  </conditionalFormatting>
  <conditionalFormatting sqref="F10">
    <cfRule type="cellIs" dxfId="130" priority="107" operator="equal">
      <formula>"a few incidences"</formula>
    </cfRule>
  </conditionalFormatting>
  <conditionalFormatting sqref="F10">
    <cfRule type="cellIs" dxfId="129" priority="108" operator="equal">
      <formula>"yes many incidences"</formula>
    </cfRule>
  </conditionalFormatting>
  <conditionalFormatting sqref="F30">
    <cfRule type="cellIs" dxfId="128" priority="101" operator="equal">
      <formula>"yes all suppliers are audited"</formula>
    </cfRule>
  </conditionalFormatting>
  <conditionalFormatting sqref="F30">
    <cfRule type="cellIs" dxfId="127" priority="102" operator="equal">
      <formula>"some suppliers are audited"</formula>
    </cfRule>
  </conditionalFormatting>
  <conditionalFormatting sqref="F30">
    <cfRule type="cellIs" dxfId="126" priority="103" operator="equal">
      <formula>"no"</formula>
    </cfRule>
  </conditionalFormatting>
  <conditionalFormatting sqref="F38:F42">
    <cfRule type="cellIs" dxfId="125" priority="89" operator="equal">
      <formula>"not applicable"</formula>
    </cfRule>
    <cfRule type="cellIs" dxfId="124" priority="90" operator="equal">
      <formula>"yes very likely"</formula>
    </cfRule>
  </conditionalFormatting>
  <conditionalFormatting sqref="F38:F42">
    <cfRule type="cellIs" dxfId="123" priority="91" operator="equal">
      <formula>"somewhat likely"</formula>
    </cfRule>
  </conditionalFormatting>
  <conditionalFormatting sqref="F38:F42">
    <cfRule type="cellIs" dxfId="122" priority="92" operator="equal">
      <formula>"no"</formula>
    </cfRule>
  </conditionalFormatting>
  <conditionalFormatting sqref="F24">
    <cfRule type="cellIs" dxfId="121" priority="81" operator="equal">
      <formula>"always"</formula>
    </cfRule>
  </conditionalFormatting>
  <conditionalFormatting sqref="F24">
    <cfRule type="cellIs" dxfId="120" priority="82" operator="equal">
      <formula>"sometimes"</formula>
    </cfRule>
  </conditionalFormatting>
  <conditionalFormatting sqref="F24">
    <cfRule type="cellIs" dxfId="119" priority="83" operator="equal">
      <formula>"never"</formula>
    </cfRule>
  </conditionalFormatting>
  <conditionalFormatting sqref="F31">
    <cfRule type="cellIs" dxfId="118" priority="76" operator="equal">
      <formula>"yes all suppliers"</formula>
    </cfRule>
    <cfRule type="cellIs" dxfId="117" priority="77" operator="equal">
      <formula>"some suppliers"</formula>
    </cfRule>
  </conditionalFormatting>
  <conditionalFormatting sqref="F31">
    <cfRule type="cellIs" dxfId="116" priority="78" operator="equal">
      <formula>"no"</formula>
    </cfRule>
  </conditionalFormatting>
  <conditionalFormatting sqref="F26">
    <cfRule type="cellIs" dxfId="115" priority="68" operator="equal">
      <formula>"no"</formula>
    </cfRule>
  </conditionalFormatting>
  <conditionalFormatting sqref="F26">
    <cfRule type="cellIs" dxfId="114" priority="69" operator="equal">
      <formula>"yes"</formula>
    </cfRule>
  </conditionalFormatting>
  <conditionalFormatting sqref="F28">
    <cfRule type="cellIs" dxfId="113" priority="60" operator="equal">
      <formula>"no"</formula>
    </cfRule>
  </conditionalFormatting>
  <conditionalFormatting sqref="F28">
    <cfRule type="cellIs" dxfId="112" priority="61" operator="equal">
      <formula>"yes"</formula>
    </cfRule>
  </conditionalFormatting>
  <conditionalFormatting sqref="F32">
    <cfRule type="cellIs" dxfId="111" priority="56" operator="equal">
      <formula>"no"</formula>
    </cfRule>
  </conditionalFormatting>
  <conditionalFormatting sqref="F32">
    <cfRule type="cellIs" dxfId="110" priority="57" operator="equal">
      <formula>"yes"</formula>
    </cfRule>
  </conditionalFormatting>
  <conditionalFormatting sqref="F27">
    <cfRule type="cellIs" dxfId="109" priority="51" operator="equal">
      <formula>"not applicable"</formula>
    </cfRule>
    <cfRule type="cellIs" dxfId="108" priority="52" operator="equal">
      <formula>"yes"</formula>
    </cfRule>
  </conditionalFormatting>
  <conditionalFormatting sqref="F27">
    <cfRule type="cellIs" dxfId="107" priority="53" operator="equal">
      <formula>"no"</formula>
    </cfRule>
  </conditionalFormatting>
  <conditionalFormatting sqref="F28">
    <cfRule type="cellIs" dxfId="106" priority="46" operator="equal">
      <formula>"not applicable"</formula>
    </cfRule>
  </conditionalFormatting>
  <conditionalFormatting sqref="F29">
    <cfRule type="cellIs" dxfId="105" priority="30" operator="equal">
      <formula>"no"</formula>
    </cfRule>
  </conditionalFormatting>
  <conditionalFormatting sqref="F29">
    <cfRule type="cellIs" dxfId="104" priority="31" operator="equal">
      <formula>"don't know"</formula>
    </cfRule>
  </conditionalFormatting>
  <conditionalFormatting sqref="F29">
    <cfRule type="cellIs" dxfId="103" priority="32" operator="equal">
      <formula>"yes"</formula>
    </cfRule>
  </conditionalFormatting>
  <conditionalFormatting sqref="F34">
    <cfRule type="cellIs" dxfId="102" priority="27" operator="equal">
      <formula>"yes very well protected"</formula>
    </cfRule>
    <cfRule type="cellIs" dxfId="101" priority="28" operator="equal">
      <formula>"somewhat protected"</formula>
    </cfRule>
  </conditionalFormatting>
  <conditionalFormatting sqref="F34">
    <cfRule type="cellIs" dxfId="100" priority="29" operator="equal">
      <formula>"no"</formula>
    </cfRule>
  </conditionalFormatting>
  <conditionalFormatting sqref="F36">
    <cfRule type="cellIs" dxfId="99" priority="5" operator="equal">
      <formula>"no not an easy target"</formula>
    </cfRule>
    <cfRule type="cellIs" dxfId="98" priority="17" operator="equal">
      <formula>"not applicable (ingredient)"</formula>
    </cfRule>
    <cfRule type="cellIs" dxfId="97" priority="21" operator="equal">
      <formula>"no not a desirable target"</formula>
    </cfRule>
    <cfRule type="cellIs" dxfId="96" priority="22" operator="equal">
      <formula>"somewhat desirable or easy"</formula>
    </cfRule>
  </conditionalFormatting>
  <conditionalFormatting sqref="F36">
    <cfRule type="cellIs" dxfId="95" priority="23" operator="equal">
      <formula>"yes desirable and easy"</formula>
    </cfRule>
  </conditionalFormatting>
  <conditionalFormatting sqref="F37">
    <cfRule type="cellIs" dxfId="94" priority="13" operator="equal">
      <formula>"not applicable (ingredient)"</formula>
    </cfRule>
    <cfRule type="cellIs" dxfId="93" priority="14" operator="equal">
      <formula>"no"</formula>
    </cfRule>
    <cfRule type="cellIs" dxfId="92" priority="15" operator="equal">
      <formula>"somewhat desirable"</formula>
    </cfRule>
  </conditionalFormatting>
  <conditionalFormatting sqref="F37">
    <cfRule type="cellIs" dxfId="91" priority="16" operator="equal">
      <formula>"yes desirable target"</formula>
    </cfRule>
  </conditionalFormatting>
  <conditionalFormatting sqref="F33">
    <cfRule type="cellIs" dxfId="90" priority="10" operator="equal">
      <formula>"yes frequent robust testing"</formula>
    </cfRule>
    <cfRule type="cellIs" dxfId="89" priority="11" operator="equal">
      <formula>"occasional testing"</formula>
    </cfRule>
  </conditionalFormatting>
  <conditionalFormatting sqref="F33">
    <cfRule type="cellIs" dxfId="88" priority="12" operator="equal">
      <formula>"no"</formula>
    </cfRule>
  </conditionalFormatting>
  <conditionalFormatting sqref="F35">
    <cfRule type="cellIs" dxfId="87" priority="6" operator="equal">
      <formula>"yes very well protected"</formula>
    </cfRule>
    <cfRule type="cellIs" dxfId="86" priority="7" operator="equal">
      <formula>"somewhat protected"</formula>
    </cfRule>
  </conditionalFormatting>
  <conditionalFormatting sqref="F35">
    <cfRule type="cellIs" dxfId="85" priority="8" operator="equal">
      <formula>"no"</formula>
    </cfRule>
  </conditionalFormatting>
  <conditionalFormatting sqref="G38">
    <cfRule type="cellIs" dxfId="84" priority="1" operator="equal">
      <formula>"not applicable"</formula>
    </cfRule>
    <cfRule type="cellIs" dxfId="83" priority="2" operator="equal">
      <formula>"yes very likely"</formula>
    </cfRule>
  </conditionalFormatting>
  <conditionalFormatting sqref="G38">
    <cfRule type="cellIs" dxfId="82" priority="3" operator="equal">
      <formula>"somewhat likely"</formula>
    </cfRule>
  </conditionalFormatting>
  <conditionalFormatting sqref="G38">
    <cfRule type="cellIs" dxfId="81" priority="4" operator="equal">
      <formula>"no"</formula>
    </cfRule>
  </conditionalFormatting>
  <dataValidations count="17">
    <dataValidation type="list" errorStyle="warning" allowBlank="1" showErrorMessage="1" error="Choose an option from the dropdown list" sqref="F10" xr:uid="{00000000-0002-0000-0200-000000000000}">
      <formula1>"yes many incidences,a few incidences,no"</formula1>
    </dataValidation>
    <dataValidation type="list" errorStyle="warning" allowBlank="1" showErrorMessage="1" error="Choose an option from the dropdown list" sqref="F14:F17 F22:F23 F19 F11 F25:F26 F32" xr:uid="{00000000-0002-0000-0200-000001000000}">
      <formula1>"yes,no"</formula1>
    </dataValidation>
    <dataValidation type="list" errorStyle="warning" allowBlank="1" showErrorMessage="1" error="Choose an option from the dropdown list" sqref="F13" xr:uid="{00000000-0002-0000-0200-000002000000}">
      <formula1>"yes very expensive,somewhat expensive,no"</formula1>
    </dataValidation>
    <dataValidation type="list" errorStyle="warning" allowBlank="1" showErrorMessage="1" error="Choose an option from the dropdown list" sqref="F12" xr:uid="{00000000-0002-0000-0200-000003000000}">
      <formula1>"yes very large,somewhat large,no"</formula1>
    </dataValidation>
    <dataValidation type="list" errorStyle="warning" allowBlank="1" showErrorMessage="1" error="Choose an option from the dropdown list" sqref="F21" xr:uid="{00000000-0002-0000-0200-000004000000}">
      <formula1>"yes many entry points,some entry points,no"</formula1>
    </dataValidation>
    <dataValidation type="list" errorStyle="warning" allowBlank="1" showErrorMessage="1" error="Choose an option from the dropdown list" sqref="F20" xr:uid="{00000000-0002-0000-0200-000005000000}">
      <formula1>"yes very complex and/or long,somewhat complex,no"</formula1>
    </dataValidation>
    <dataValidation type="list" errorStyle="warning" allowBlank="1" showInputMessage="1" showErrorMessage="1" error="Choose an option from the dropdown list" sqref="F30" xr:uid="{00000000-0002-0000-0200-000006000000}">
      <formula1>"yes all suppliers are audited,some suppliers are audited, no"</formula1>
    </dataValidation>
    <dataValidation type="list" errorStyle="warning" allowBlank="1" showErrorMessage="1" error="Choose an option from the dropdown list" sqref="F27:F28" xr:uid="{00000000-0002-0000-0200-000007000000}">
      <formula1>"yes,no,not applicable"</formula1>
    </dataValidation>
    <dataValidation type="list" errorStyle="warning" allowBlank="1" showInputMessage="1" showErrorMessage="1" error="Choose an option from the dropdown list" sqref="F24" xr:uid="{00000000-0002-0000-0200-000009000000}">
      <formula1>"always,sometimes,never"</formula1>
    </dataValidation>
    <dataValidation type="list" errorStyle="warning" allowBlank="1" showInputMessage="1" showErrorMessage="1" error="Choose an option from the dropdown list" sqref="F31" xr:uid="{00000000-0002-0000-0200-00000A000000}">
      <formula1>"yes all suppliers,some suppliers,no"</formula1>
    </dataValidation>
    <dataValidation type="list" errorStyle="warning" allowBlank="1" showInputMessage="1" showErrorMessage="1" error="Choose an option from the dropdown list" sqref="F45" xr:uid="{00000000-0002-0000-0200-00000B000000}">
      <formula1>"Very unlikely,Unlikely,Fairly likely,Likely,Very likely/certain"</formula1>
    </dataValidation>
    <dataValidation type="list" allowBlank="1" showInputMessage="1" showErrorMessage="1" sqref="F18" xr:uid="{00000000-0002-0000-0200-00000C000000}">
      <formula1>"1 or 2,3 or more"</formula1>
    </dataValidation>
    <dataValidation type="list" errorStyle="warning" allowBlank="1" showErrorMessage="1" error="Choose an option from the dropdown list" sqref="F29" xr:uid="{DE87BEF8-4F9C-423D-A8FE-0B0BAA03E866}">
      <formula1>"yes,no,don't know"</formula1>
    </dataValidation>
    <dataValidation type="list" errorStyle="warning" allowBlank="1" showErrorMessage="1" error="Choose an option from the dropdown list" sqref="F34:F35" xr:uid="{158984DE-7188-4437-9C61-91CFA4BB0789}">
      <formula1>"yes very well protected,somewhat protected,no"</formula1>
    </dataValidation>
    <dataValidation type="list" errorStyle="warning" allowBlank="1" showErrorMessage="1" error="Choose an option from the dropdown list" sqref="F36" xr:uid="{6487DD13-1555-4DF3-BE4F-B649FD15CDF9}">
      <formula1>"yes desirable and easy,somewhat desirable or easy,no not a desirable target,no not an easy target,not applicable (ingredient)"</formula1>
    </dataValidation>
    <dataValidation type="list" errorStyle="warning" allowBlank="1" showErrorMessage="1" error="Choose an option from the dropdown list" sqref="F37" xr:uid="{6CE59DA5-409D-4510-8CDA-0E5E506D0312}">
      <formula1>"yes desirable target,somewhat desirable,no,not applicable (ingredient)"</formula1>
    </dataValidation>
    <dataValidation type="list" errorStyle="warning" allowBlank="1" showErrorMessage="1" error="Choose an option from the dropdown list" sqref="F33" xr:uid="{1F650F9E-A29F-4FE3-BBD9-73FF7584C344}">
      <formula1>"yes frequent robust testing,occasional testing,no"</formula1>
    </dataValidation>
  </dataValidations>
  <hyperlinks>
    <hyperlink ref="C47" location="Instructions!A1" display="Back to Instructions page" xr:uid="{00000000-0004-0000-0200-000000000000}"/>
    <hyperlink ref="E10" r:id="rId1" xr:uid="{00000000-0004-0000-0200-000001000000}"/>
    <hyperlink ref="E12" location="Instructions!A227" display="Info" xr:uid="{00000000-0004-0000-0200-000002000000}"/>
    <hyperlink ref="E11" r:id="rId2" xr:uid="{00000000-0004-0000-0200-000003000000}"/>
    <hyperlink ref="E13" location="Instructions!A231" display="Info" xr:uid="{00000000-0004-0000-0200-000004000000}"/>
    <hyperlink ref="E15" location="Instructions!A237" display="Info" xr:uid="{00000000-0004-0000-0200-000005000000}"/>
    <hyperlink ref="E16" location="Instructions!A241" display="Info" xr:uid="{00000000-0004-0000-0200-000006000000}"/>
    <hyperlink ref="E17" location="Instructions!A245" display="Info" xr:uid="{00000000-0004-0000-0200-000007000000}"/>
    <hyperlink ref="E19" location="Instructions!A249" display="Info" xr:uid="{00000000-0004-0000-0200-000008000000}"/>
    <hyperlink ref="E20" location="Instructions!A253" display="Info" xr:uid="{00000000-0004-0000-0200-000009000000}"/>
    <hyperlink ref="E21" location="Instructions!A257" display="Info" xr:uid="{00000000-0004-0000-0200-00000A000000}"/>
    <hyperlink ref="E22" location="Instructions!A261" display="Info" xr:uid="{00000000-0004-0000-0200-00000B000000}"/>
    <hyperlink ref="E23" location="Instructions!A265" display="Info" xr:uid="{00000000-0004-0000-0200-00000C000000}"/>
    <hyperlink ref="E25" location="Instructions!A269" display="Info" xr:uid="{00000000-0004-0000-0200-00000D000000}"/>
    <hyperlink ref="E30" location="Instructions!A269" display="Info" xr:uid="{00000000-0004-0000-0200-00000E000000}"/>
    <hyperlink ref="E31" location="Instructions!A281" display="Info" xr:uid="{00000000-0004-0000-0200-00000F000000}"/>
    <hyperlink ref="E33" location="Instructions!A281" display="Info" xr:uid="{00000000-0004-0000-0200-000010000000}"/>
    <hyperlink ref="E34" location="Instructions!A289" display="Info" xr:uid="{00000000-0004-0000-0200-000011000000}"/>
    <hyperlink ref="E37" location="Instructions!A298" display="Info" xr:uid="{00000000-0004-0000-0200-000012000000}"/>
    <hyperlink ref="E44" location="Instructions!A302" display="Info" xr:uid="{00000000-0004-0000-0200-000013000000}"/>
    <hyperlink ref="C49" location="'Consequences worksheet'!A1" display="Forward to Consequences worksheet" xr:uid="{00000000-0004-0000-0200-000014000000}"/>
    <hyperlink ref="E29" location="Instructions!A273" display="Info" xr:uid="{2745265A-4203-4AC6-B75B-75CC996AA560}"/>
    <hyperlink ref="E36" location="Instructions!A294" display="Info" xr:uid="{582340C9-10BF-4601-BBC6-9E1FD9675F42}"/>
    <hyperlink ref="E35" location="Instructions!A293" display="Info" xr:uid="{7E236F13-AF80-4095-B8FA-6B1C9741E8CF}"/>
  </hyperlinks>
  <pageMargins left="0.7" right="0.7" top="0.75" bottom="0.75" header="0.3" footer="0.3"/>
  <pageSetup paperSize="9" orientation="portrait" horizontalDpi="0" verticalDpi="0" r:id="rId3"/>
  <drawing r:id="rId4"/>
  <legacyDrawing r:id="rId5"/>
  <picture r:id="rId6"/>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B2:K28"/>
  <sheetViews>
    <sheetView showGridLines="0" showRowColHeaders="0" zoomScaleNormal="100" workbookViewId="0">
      <pane ySplit="8" topLeftCell="A9" activePane="bottomLeft" state="frozen"/>
      <selection pane="bottomLeft" activeCell="F10" sqref="F10"/>
    </sheetView>
  </sheetViews>
  <sheetFormatPr defaultRowHeight="13.2"/>
  <cols>
    <col min="1" max="1" width="8.88671875" style="1"/>
    <col min="2" max="2" width="4.5546875" style="317" customWidth="1"/>
    <col min="3" max="3" width="17" style="1" customWidth="1"/>
    <col min="4" max="4" width="21.5546875" style="1" customWidth="1"/>
    <col min="5" max="5" width="8.88671875" style="1"/>
    <col min="6" max="6" width="16.88671875" style="1" customWidth="1"/>
    <col min="7" max="7" width="9.109375" style="211" hidden="1" customWidth="1"/>
    <col min="8" max="8" width="36.6640625" style="1" hidden="1" customWidth="1"/>
    <col min="9" max="9" width="30.5546875" style="1" customWidth="1"/>
    <col min="10" max="10" width="101.5546875" style="68" customWidth="1"/>
    <col min="11" max="16384" width="8.88671875" style="1"/>
  </cols>
  <sheetData>
    <row r="2" spans="2:11" ht="15.6">
      <c r="B2" s="163" t="s">
        <v>168</v>
      </c>
      <c r="C2" s="309"/>
      <c r="D2" s="164"/>
      <c r="E2" s="164"/>
      <c r="F2" s="309"/>
      <c r="G2" s="310"/>
      <c r="H2" s="311"/>
      <c r="I2" s="309"/>
      <c r="J2" s="449"/>
    </row>
    <row r="3" spans="2:11" ht="22.2" customHeight="1">
      <c r="B3" s="165" t="str">
        <f>IF('Scope worksheet'!D6="Insert name of material or material group here","Insert material name on Scope Worksheet",'Scope worksheet'!D6)</f>
        <v>Insert material name on Scope Worksheet</v>
      </c>
      <c r="C3" s="312"/>
      <c r="D3" s="312"/>
      <c r="E3" s="166"/>
      <c r="F3" s="312"/>
      <c r="G3" s="313"/>
      <c r="H3" s="312"/>
      <c r="I3" s="312"/>
      <c r="J3" s="450"/>
    </row>
    <row r="4" spans="2:11" ht="15.6">
      <c r="B4" s="167" t="str">
        <f>IF('Scope worksheet'!D5="product","Consequences of food fraud on this product","Consequences of food fraud on this ingredient or raw material")</f>
        <v>Consequences of food fraud on this ingredient or raw material</v>
      </c>
      <c r="C4" s="314"/>
      <c r="D4" s="168"/>
      <c r="E4" s="169"/>
      <c r="F4" s="314"/>
      <c r="G4" s="315"/>
      <c r="H4" s="316"/>
      <c r="I4" s="314"/>
      <c r="J4" s="451"/>
    </row>
    <row r="5" spans="2:11" ht="7.2" customHeight="1">
      <c r="B5" s="161"/>
      <c r="E5" s="162"/>
      <c r="I5" s="13"/>
      <c r="K5" s="9"/>
    </row>
    <row r="6" spans="2:11" ht="4.95" customHeight="1">
      <c r="C6" s="146"/>
      <c r="D6" s="147"/>
      <c r="E6" s="137"/>
      <c r="K6" s="9"/>
    </row>
    <row r="7" spans="2:11" ht="4.95" customHeight="1">
      <c r="C7" s="146"/>
      <c r="D7" s="147"/>
      <c r="E7" s="137"/>
      <c r="K7" s="9"/>
    </row>
    <row r="8" spans="2:11" ht="4.95" customHeight="1">
      <c r="C8" s="146"/>
      <c r="D8" s="147"/>
      <c r="E8" s="137"/>
    </row>
    <row r="9" spans="2:11" ht="31.2">
      <c r="B9" s="532" t="s">
        <v>45</v>
      </c>
      <c r="C9" s="533"/>
      <c r="D9" s="170" t="s">
        <v>46</v>
      </c>
      <c r="E9" s="170" t="s">
        <v>47</v>
      </c>
      <c r="F9" s="171" t="s">
        <v>82</v>
      </c>
      <c r="G9" s="123" t="s">
        <v>83</v>
      </c>
      <c r="H9" s="123" t="s">
        <v>83</v>
      </c>
      <c r="I9" s="171" t="s">
        <v>44</v>
      </c>
      <c r="J9" s="171" t="s">
        <v>48</v>
      </c>
    </row>
    <row r="10" spans="2:11" ht="99.6" customHeight="1">
      <c r="B10" s="172" t="s">
        <v>139</v>
      </c>
      <c r="C10" s="173" t="s">
        <v>87</v>
      </c>
      <c r="D10" s="174" t="str">
        <f>IF('Scope worksheet'!$D$5="product",'calc sheet'!C10,'calc sheet'!B10)</f>
        <v>Is this a characterising ingredient of any product?</v>
      </c>
      <c r="E10" s="411" t="str">
        <f>HYPERLINK("http://foodfraudadvisors.com/characterising-ingredients/","Info")</f>
        <v>Info</v>
      </c>
      <c r="F10" s="322"/>
      <c r="G10" s="159">
        <f>IF(F10="",0.01,IF(F10="no",0,1))</f>
        <v>0.01</v>
      </c>
      <c r="H10" s="134" t="s">
        <v>23</v>
      </c>
      <c r="I10" s="176" t="str">
        <f>IF(ISERROR($G$22),"Warning; an error has occurred. Avoid using cut and paste functions. Press 'undo' or revert to last saved copy to correct the error",IF('Scope worksheet'!$D$5="product",'calc sheet'!E10,'calc sheet'!D10))</f>
        <v/>
      </c>
      <c r="J10" s="81"/>
    </row>
    <row r="11" spans="2:11" ht="75" customHeight="1">
      <c r="B11" s="172" t="s">
        <v>141</v>
      </c>
      <c r="C11" s="534" t="s">
        <v>351</v>
      </c>
      <c r="D11" s="535"/>
      <c r="E11" s="411" t="str">
        <f>HYPERLINK("http://foodfraudadvisors.com/characterising-ingredients/","Info")</f>
        <v>Info</v>
      </c>
      <c r="F11" s="322"/>
      <c r="G11" s="159" t="str">
        <f>IF(F11="","",IF(F11="no",0,1))</f>
        <v/>
      </c>
      <c r="H11" s="134" t="s">
        <v>23</v>
      </c>
      <c r="I11" s="176" t="str">
        <f>IF(ISERROR($G$22),"Warning; an error has occurred. Avoid using cut and paste functions. Press 'undo' or revert to last saved copy to correct the error",IF(F11="","","Purchase the full version to unlock this content"))</f>
        <v/>
      </c>
      <c r="J11" s="452"/>
    </row>
    <row r="12" spans="2:11" ht="58.2" customHeight="1">
      <c r="B12" s="172" t="s">
        <v>142</v>
      </c>
      <c r="C12" s="172" t="s">
        <v>84</v>
      </c>
      <c r="D12" s="174" t="str">
        <f>IF('Scope worksheet'!$D$5="product",'calc sheet'!C12,'calc sheet'!B12)</f>
        <v>Is this ingredient used only in very small amounts? (always less than 1% of product)</v>
      </c>
      <c r="E12" s="411"/>
      <c r="F12" s="323"/>
      <c r="G12" s="159" t="str">
        <f>IF(F12="","",IF(F12="yes",-1,0))</f>
        <v/>
      </c>
      <c r="H12" s="134" t="s">
        <v>301</v>
      </c>
      <c r="I12" s="176" t="str">
        <f>IF(ISERROR($G$22),"Warning; an error has occurred. Avoid using cut and paste functions. Press 'undo' or revert to last saved copy to correct the error",IF('Scope worksheet'!$D$5="product",'calc sheet'!E12,'calc sheet'!D12))</f>
        <v/>
      </c>
      <c r="J12" s="81"/>
    </row>
    <row r="13" spans="2:11" ht="73.2" customHeight="1">
      <c r="B13" s="172" t="s">
        <v>140</v>
      </c>
      <c r="C13" s="534" t="s">
        <v>351</v>
      </c>
      <c r="D13" s="535"/>
      <c r="E13" s="411" t="str">
        <f t="shared" ref="E13:E19" si="0">HYPERLINK("http://foodfraudadvisors.com/characterising-ingredients/","Info")</f>
        <v>Info</v>
      </c>
      <c r="F13" s="322"/>
      <c r="G13" s="159" t="str">
        <f t="shared" ref="G13:G19" si="1">IF(F13="","",IF(F13="no",0,1))</f>
        <v/>
      </c>
      <c r="H13" s="134" t="s">
        <v>23</v>
      </c>
      <c r="I13" s="176" t="str">
        <f>IF(ISERROR($G$22),"Warning; an error has occurred. Avoid using cut and paste functions. Press 'undo' or revert to last saved copy to correct the error",IF(F13="","","Purchase the full version to unlock this content"))</f>
        <v/>
      </c>
      <c r="J13" s="452"/>
    </row>
    <row r="14" spans="2:11" ht="94.2" customHeight="1">
      <c r="B14" s="172" t="s">
        <v>143</v>
      </c>
      <c r="C14" s="534" t="s">
        <v>351</v>
      </c>
      <c r="D14" s="535"/>
      <c r="E14" s="411" t="str">
        <f t="shared" si="0"/>
        <v>Info</v>
      </c>
      <c r="F14" s="322"/>
      <c r="G14" s="159" t="str">
        <f t="shared" si="1"/>
        <v/>
      </c>
      <c r="H14" s="134" t="s">
        <v>23</v>
      </c>
      <c r="I14" s="176" t="str">
        <f>IF(ISERROR($G$22),"Warning; an error has occurred. Avoid using cut and paste functions. Press 'undo' or revert to last saved copy to correct the error",IF(F14="","","Purchase the full version to unlock this content"))</f>
        <v/>
      </c>
      <c r="J14" s="452"/>
    </row>
    <row r="15" spans="2:11" ht="92.4" customHeight="1">
      <c r="B15" s="172" t="s">
        <v>144</v>
      </c>
      <c r="C15" s="175" t="s">
        <v>77</v>
      </c>
      <c r="D15" s="174" t="str">
        <f>IF('Scope worksheet'!$D$5="product",'calc sheet'!C15,'calc sheet'!B15)</f>
        <v>Is this material used in products that are allergen-free or marketed with "free-from" allergen-related claims? (include gluten)</v>
      </c>
      <c r="E15" s="411" t="str">
        <f t="shared" si="0"/>
        <v>Info</v>
      </c>
      <c r="F15" s="322"/>
      <c r="G15" s="180" t="str">
        <f t="shared" si="1"/>
        <v/>
      </c>
      <c r="H15" s="134" t="s">
        <v>23</v>
      </c>
      <c r="I15" s="176" t="str">
        <f>IF(ISERROR($G$22),"Warning; an error has occurred. Avoid using cut and paste functions. Press 'undo' or revert to last saved copy to correct the error",IF('Scope worksheet'!$D$5="product",'calc sheet'!E15,'calc sheet'!D15))</f>
        <v/>
      </c>
      <c r="J15" s="452"/>
    </row>
    <row r="16" spans="2:11" ht="58.2" customHeight="1">
      <c r="B16" s="172" t="s">
        <v>145</v>
      </c>
      <c r="C16" s="534" t="s">
        <v>351</v>
      </c>
      <c r="D16" s="535"/>
      <c r="E16" s="411" t="str">
        <f t="shared" si="0"/>
        <v>Info</v>
      </c>
      <c r="F16" s="322"/>
      <c r="G16" s="180" t="str">
        <f t="shared" si="1"/>
        <v/>
      </c>
      <c r="H16" s="134" t="s">
        <v>23</v>
      </c>
      <c r="I16" s="176" t="str">
        <f>IF(ISERROR($G$22),"Warning; an error has occurred. Avoid using cut and paste functions. Press 'undo' or revert to last saved copy to correct the error",IF(F16="","","Purchase the full version to unlock this content"))</f>
        <v/>
      </c>
      <c r="J16" s="452"/>
    </row>
    <row r="17" spans="2:10" ht="60.6" customHeight="1">
      <c r="B17" s="172" t="s">
        <v>146</v>
      </c>
      <c r="C17" s="534" t="s">
        <v>351</v>
      </c>
      <c r="D17" s="535"/>
      <c r="E17" s="411" t="str">
        <f t="shared" si="0"/>
        <v>Info</v>
      </c>
      <c r="F17" s="323"/>
      <c r="G17" s="180" t="str">
        <f t="shared" si="1"/>
        <v/>
      </c>
      <c r="H17" s="134" t="s">
        <v>23</v>
      </c>
      <c r="I17" s="176" t="str">
        <f>IF(ISERROR($G$22),"Warning; an error has occurred. Avoid using cut and paste functions. Press 'undo' or revert to last saved copy to correct the error",IF(F17="","","Purchase the full version to unlock this content"))</f>
        <v/>
      </c>
      <c r="J17" s="452"/>
    </row>
    <row r="18" spans="2:10" ht="61.2" customHeight="1">
      <c r="B18" s="172" t="s">
        <v>147</v>
      </c>
      <c r="C18" s="534" t="s">
        <v>351</v>
      </c>
      <c r="D18" s="535"/>
      <c r="E18" s="411" t="str">
        <f t="shared" si="0"/>
        <v>Info</v>
      </c>
      <c r="F18" s="323"/>
      <c r="G18" s="180" t="str">
        <f t="shared" si="1"/>
        <v/>
      </c>
      <c r="H18" s="134" t="s">
        <v>23</v>
      </c>
      <c r="I18" s="176" t="str">
        <f>IF(ISERROR($G$22),"Warning; an error has occurred. Avoid using cut and paste functions. Press 'undo' or revert to last saved copy to correct the error",IF(F18="","","Purchase the full version to unlock this content"))</f>
        <v/>
      </c>
      <c r="J18" s="452"/>
    </row>
    <row r="19" spans="2:10" ht="115.2" customHeight="1">
      <c r="B19" s="172" t="s">
        <v>148</v>
      </c>
      <c r="C19" s="534" t="s">
        <v>351</v>
      </c>
      <c r="D19" s="535"/>
      <c r="E19" s="411" t="str">
        <f t="shared" si="0"/>
        <v>Info</v>
      </c>
      <c r="F19" s="323"/>
      <c r="G19" s="180" t="str">
        <f t="shared" si="1"/>
        <v/>
      </c>
      <c r="H19" s="134" t="s">
        <v>23</v>
      </c>
      <c r="I19" s="176" t="str">
        <f>IF(ISERROR($G$22),"Warning; an error has occurred. Avoid using cut and paste functions. Press 'undo' or revert to last saved copy to correct the error",IF(F19="","","Purchase the full version to unlock this content"))</f>
        <v/>
      </c>
      <c r="J19" s="452"/>
    </row>
    <row r="20" spans="2:10" ht="33.6" customHeight="1">
      <c r="B20" s="172" t="s">
        <v>149</v>
      </c>
      <c r="C20" s="175" t="s">
        <v>0</v>
      </c>
      <c r="D20" s="174" t="str">
        <f>IF('Scope worksheet'!$D$5="product",'calc sheet'!C20,'calc sheet'!B20)</f>
        <v>Is this an expensive material?</v>
      </c>
      <c r="E20" s="412"/>
      <c r="F20" s="324"/>
      <c r="G20" s="180" t="str">
        <f>IF(F20="","",IF(F20="no",0,IF(F20="somewhat expensive",0.5,1)))</f>
        <v/>
      </c>
      <c r="H20" s="134" t="s">
        <v>40</v>
      </c>
      <c r="I20" s="176" t="str">
        <f>IF(ISERROR($G$22),"Warning; an error has occurred. Avoid using cut and paste functions. Press 'undo' or revert to last saved copy to correct the error",IF('Scope worksheet'!$D$5="product",'calc sheet'!E20,'calc sheet'!D20))</f>
        <v/>
      </c>
      <c r="J20" s="452"/>
    </row>
    <row r="21" spans="2:10" ht="68.400000000000006" customHeight="1">
      <c r="B21" s="172" t="s">
        <v>150</v>
      </c>
      <c r="C21" s="173" t="s">
        <v>93</v>
      </c>
      <c r="D21" s="174" t="str">
        <f>IF('Scope worksheet'!$D$5="product",'calc sheet'!C21,'calc sheet'!B21)</f>
        <v>Are there any other economic considerations to include?  If yes, add comments.</v>
      </c>
      <c r="E21" s="411" t="str">
        <f>HYPERLINK("http://foodfraudadvisors.com/characterising-ingredients/","Info")</f>
        <v>Info</v>
      </c>
      <c r="F21" s="325"/>
      <c r="G21" s="181" t="str">
        <f>IF(F21="","",IF(F21="no",0,1))</f>
        <v/>
      </c>
      <c r="H21" s="182" t="s">
        <v>23</v>
      </c>
      <c r="I21" s="176" t="str">
        <f>IF(ISERROR($G$22),"Warning; an error has occurred. Avoid using cut and paste functions. Press 'undo' or revert to last saved copy to correct the error",IF('Scope worksheet'!$D$5="product",'calc sheet'!E21,'calc sheet'!D21))</f>
        <v/>
      </c>
      <c r="J21" s="452"/>
    </row>
    <row r="22" spans="2:10" ht="31.95" hidden="1" customHeight="1">
      <c r="B22" s="177"/>
      <c r="C22" s="178" t="s">
        <v>86</v>
      </c>
      <c r="D22" s="179"/>
      <c r="E22" s="413"/>
      <c r="F22" s="318"/>
      <c r="G22" s="319">
        <f>IF((SUM(G10:G21)/COUNT(G10:G21)*100)&gt;100,100,SUM(G10:G21)/COUNT(G10:G21)*100)</f>
        <v>1</v>
      </c>
      <c r="H22" s="320" t="str">
        <f>IF(G22&lt;=5,"Negligible (calculated)",IF(AND(G22&gt;4,G22&lt;=7),"Minor (calculated)",IF(AND(G22&gt;7,G22&lt;=13),"Moderate (calculated)",IF(AND(G22&gt;13,G22&lt;=85),"Significant (calculated)",IF(AND(G22&gt;85,G22&lt;=100),"Severe (calculated)","ERROR")))))</f>
        <v>Negligible (calculated)</v>
      </c>
      <c r="I22" s="13" t="s">
        <v>83</v>
      </c>
      <c r="J22" s="453"/>
    </row>
    <row r="23" spans="2:10" ht="39.6">
      <c r="B23" s="172" t="s">
        <v>172</v>
      </c>
      <c r="C23" s="175" t="s">
        <v>78</v>
      </c>
      <c r="D23" s="174" t="s">
        <v>234</v>
      </c>
      <c r="E23" s="414" t="s">
        <v>1</v>
      </c>
      <c r="F23" s="409" t="str">
        <f>H22</f>
        <v>Negligible (calculated)</v>
      </c>
      <c r="G23" s="408"/>
      <c r="H23" s="321" t="str">
        <f>IF(H22="Negligible (calculated)","Negligible consequences",IF(H22="Minor (calculated)","Minor consequences",IF(H22="Moderate (calculated)","Moderate consequences",IF(H22="Significant (calculated)","Significant consequences",IF(H22="Severe (calculated)","Severe consequences","ERROR")))))</f>
        <v>Negligible consequences</v>
      </c>
      <c r="I23" s="528" t="str">
        <f>IF(ISERROR($G$22),"Warning; an error has occurred. Avoid using cut and paste functions. Press 'undo' or revert to last saved copy to correct the error",G24)</f>
        <v>Negligible consequences</v>
      </c>
      <c r="J23" s="530" t="s">
        <v>158</v>
      </c>
    </row>
    <row r="24" spans="2:10" ht="51" customHeight="1">
      <c r="B24" s="188" t="s">
        <v>173</v>
      </c>
      <c r="C24" s="175" t="s">
        <v>79</v>
      </c>
      <c r="D24" s="174" t="s">
        <v>81</v>
      </c>
      <c r="E24" s="415"/>
      <c r="F24" s="410"/>
      <c r="G24" s="408" t="str">
        <f>IF(F24="",H23,H24)</f>
        <v>Negligible consequences</v>
      </c>
      <c r="H24" s="320" t="str">
        <f>IF(F24="Negligible","Negligible consequences",IF(F24="Minor","Minor consequences",IF(F24="Moderate","Moderate consequences",IF(F24="Significant","Significant consequences",IF(F24="Severe","Severe consequences",IF(F24="","","ERROR"))))))</f>
        <v/>
      </c>
      <c r="I24" s="529"/>
      <c r="J24" s="531"/>
    </row>
    <row r="25" spans="2:10" ht="13.8" thickBot="1"/>
    <row r="26" spans="2:10" ht="27" thickBot="1">
      <c r="C26" s="58" t="s">
        <v>17</v>
      </c>
    </row>
    <row r="27" spans="2:10" ht="13.8" thickBot="1"/>
    <row r="28" spans="2:10" ht="27" thickBot="1">
      <c r="C28" s="58" t="s">
        <v>252</v>
      </c>
    </row>
  </sheetData>
  <sheetProtection algorithmName="SHA-512" hashValue="h303acBImphxF5IwP9FU5KzafPpwL0eyd7cBfe4GUMa3+h2l0ocXh/nDV4HreSU1AG2ho430KmyM7hqt0To6uw==" saltValue="4tu2YnhmWrmKt9GaMcB64g==" spinCount="100000" sheet="1" selectLockedCells="1"/>
  <mergeCells count="10">
    <mergeCell ref="I23:I24"/>
    <mergeCell ref="J23:J24"/>
    <mergeCell ref="B9:C9"/>
    <mergeCell ref="C11:D11"/>
    <mergeCell ref="C13:D13"/>
    <mergeCell ref="C14:D14"/>
    <mergeCell ref="C16:D16"/>
    <mergeCell ref="C17:D17"/>
    <mergeCell ref="C18:D18"/>
    <mergeCell ref="C19:D19"/>
  </mergeCells>
  <conditionalFormatting sqref="F10 F17 F19">
    <cfRule type="cellIs" dxfId="80" priority="84" operator="equal">
      <formula>"no"</formula>
    </cfRule>
    <cfRule type="cellIs" dxfId="79" priority="85" operator="equal">
      <formula>"yes"</formula>
    </cfRule>
  </conditionalFormatting>
  <conditionalFormatting sqref="F22">
    <cfRule type="cellIs" dxfId="78" priority="86" operator="equal">
      <formula>"less than $1"</formula>
    </cfRule>
  </conditionalFormatting>
  <conditionalFormatting sqref="F22">
    <cfRule type="cellIs" dxfId="77" priority="87" operator="equal">
      <formula>"$1 - $4"</formula>
    </cfRule>
  </conditionalFormatting>
  <conditionalFormatting sqref="F22">
    <cfRule type="cellIs" dxfId="76" priority="88" operator="equal">
      <formula>"$4 - $10"</formula>
    </cfRule>
  </conditionalFormatting>
  <conditionalFormatting sqref="F22">
    <cfRule type="cellIs" dxfId="75" priority="89" operator="equal">
      <formula>"$10 - $50"</formula>
    </cfRule>
  </conditionalFormatting>
  <conditionalFormatting sqref="F22">
    <cfRule type="cellIs" dxfId="74" priority="90" operator="equal">
      <formula>"greater than $50"</formula>
    </cfRule>
  </conditionalFormatting>
  <conditionalFormatting sqref="F10">
    <cfRule type="cellIs" dxfId="73" priority="75" operator="equal">
      <formula>"start here by clicking the dropdown arrow"</formula>
    </cfRule>
  </conditionalFormatting>
  <conditionalFormatting sqref="F12">
    <cfRule type="cellIs" dxfId="72" priority="65" operator="equal">
      <formula>"no"</formula>
    </cfRule>
  </conditionalFormatting>
  <conditionalFormatting sqref="F12">
    <cfRule type="cellIs" dxfId="71" priority="66" operator="equal">
      <formula>"yes"</formula>
    </cfRule>
  </conditionalFormatting>
  <conditionalFormatting sqref="I10:I21">
    <cfRule type="cellIs" dxfId="70" priority="64" operator="equal">
      <formula>"Warning; an error has occurred. Avoid using cut and paste functions. Press 'undo' or revert to last saved copy to correct the error"</formula>
    </cfRule>
  </conditionalFormatting>
  <conditionalFormatting sqref="F13">
    <cfRule type="cellIs" dxfId="69" priority="54" operator="equal">
      <formula>"no"</formula>
    </cfRule>
  </conditionalFormatting>
  <conditionalFormatting sqref="F13">
    <cfRule type="cellIs" dxfId="68" priority="55" operator="equal">
      <formula>"yes"</formula>
    </cfRule>
  </conditionalFormatting>
  <conditionalFormatting sqref="F14">
    <cfRule type="cellIs" dxfId="67" priority="48" operator="equal">
      <formula>"no"</formula>
    </cfRule>
  </conditionalFormatting>
  <conditionalFormatting sqref="F14">
    <cfRule type="cellIs" dxfId="66" priority="49" operator="equal">
      <formula>"yes"</formula>
    </cfRule>
  </conditionalFormatting>
  <conditionalFormatting sqref="F15">
    <cfRule type="cellIs" dxfId="65" priority="42" operator="equal">
      <formula>"no"</formula>
    </cfRule>
  </conditionalFormatting>
  <conditionalFormatting sqref="F15">
    <cfRule type="cellIs" dxfId="64" priority="43" operator="equal">
      <formula>"yes"</formula>
    </cfRule>
  </conditionalFormatting>
  <conditionalFormatting sqref="F16">
    <cfRule type="cellIs" dxfId="63" priority="36" operator="equal">
      <formula>"no"</formula>
    </cfRule>
  </conditionalFormatting>
  <conditionalFormatting sqref="F16">
    <cfRule type="cellIs" dxfId="62" priority="37" operator="equal">
      <formula>"yes"</formula>
    </cfRule>
  </conditionalFormatting>
  <conditionalFormatting sqref="F11">
    <cfRule type="cellIs" dxfId="61" priority="27" operator="equal">
      <formula>"no"</formula>
    </cfRule>
  </conditionalFormatting>
  <conditionalFormatting sqref="F11">
    <cfRule type="cellIs" dxfId="60" priority="28" operator="equal">
      <formula>"yes"</formula>
    </cfRule>
  </conditionalFormatting>
  <conditionalFormatting sqref="F18">
    <cfRule type="cellIs" dxfId="59" priority="24" operator="equal">
      <formula>"no"</formula>
    </cfRule>
  </conditionalFormatting>
  <conditionalFormatting sqref="F18">
    <cfRule type="cellIs" dxfId="58" priority="25" operator="equal">
      <formula>"yes"</formula>
    </cfRule>
  </conditionalFormatting>
  <conditionalFormatting sqref="F20">
    <cfRule type="cellIs" dxfId="57" priority="15" operator="equal">
      <formula>"no"</formula>
    </cfRule>
  </conditionalFormatting>
  <conditionalFormatting sqref="F20">
    <cfRule type="cellIs" dxfId="56" priority="16" operator="equal">
      <formula>"somewhat expensive"</formula>
    </cfRule>
  </conditionalFormatting>
  <conditionalFormatting sqref="F20">
    <cfRule type="cellIs" dxfId="55" priority="17" operator="equal">
      <formula>"yes very expensive"</formula>
    </cfRule>
  </conditionalFormatting>
  <conditionalFormatting sqref="F21">
    <cfRule type="cellIs" dxfId="54" priority="13" operator="equal">
      <formula>"no"</formula>
    </cfRule>
  </conditionalFormatting>
  <conditionalFormatting sqref="F21">
    <cfRule type="cellIs" dxfId="53" priority="14" operator="equal">
      <formula>"yes"</formula>
    </cfRule>
  </conditionalFormatting>
  <conditionalFormatting sqref="I23">
    <cfRule type="cellIs" dxfId="52" priority="12" operator="equal">
      <formula>"Warning; an error has occurred. Avoid using cut and paste functions. Press 'undo' or revert to last saved copy to correct the error"</formula>
    </cfRule>
  </conditionalFormatting>
  <dataValidations count="4">
    <dataValidation type="list" errorStyle="warning" allowBlank="1" showErrorMessage="1" error="Choose an option from the dropdown list" sqref="F24" xr:uid="{00000000-0002-0000-0300-000000000000}">
      <formula1>"Negligible,Minor,Moderate,Significant,Severe"</formula1>
    </dataValidation>
    <dataValidation allowBlank="1" showInputMessage="1" sqref="F23" xr:uid="{00000000-0002-0000-0300-000001000000}"/>
    <dataValidation type="list" errorStyle="warning" allowBlank="1" showErrorMessage="1" error="Choose an option from the dropdown list" sqref="F20" xr:uid="{00000000-0002-0000-0300-000002000000}">
      <formula1>"yes very expensive,somewhat expensive,no"</formula1>
    </dataValidation>
    <dataValidation type="list" errorStyle="warning" allowBlank="1" showInputMessage="1" showErrorMessage="1" error="Choose an answer from the dropdown list" sqref="F10:F19 F21" xr:uid="{00000000-0002-0000-0300-000003000000}">
      <formula1>"yes,no"</formula1>
    </dataValidation>
  </dataValidations>
  <hyperlinks>
    <hyperlink ref="C26" location="Instructions!A12" display="Back to Instructions page" xr:uid="{00000000-0004-0000-0300-000000000000}"/>
    <hyperlink ref="E10" location="Instructions!A324" display="Instructions!A324" xr:uid="{00000000-0004-0000-0300-000001000000}"/>
    <hyperlink ref="C28" location="'Results section 1'!A1" display="View and print results" xr:uid="{00000000-0004-0000-0300-000002000000}"/>
    <hyperlink ref="E11" location="Instructions!A328" display="Instructions!A328" xr:uid="{00000000-0004-0000-0300-000003000000}"/>
    <hyperlink ref="E13" location="Instructions!A332" display="Instructions!A332" xr:uid="{00000000-0004-0000-0300-000004000000}"/>
    <hyperlink ref="E14" location="Instructions!A336" display="Instructions!A336" xr:uid="{00000000-0004-0000-0300-000005000000}"/>
    <hyperlink ref="E15" location="Instructions!A342" display="Instructions!A342" xr:uid="{00000000-0004-0000-0300-000006000000}"/>
    <hyperlink ref="E19" location="Instructions!A359" display="Instructions!A359" xr:uid="{00000000-0004-0000-0300-000007000000}"/>
    <hyperlink ref="E21" location="Instructions!A363" display="Instructions!A363" xr:uid="{00000000-0004-0000-0300-000008000000}"/>
    <hyperlink ref="E16" location="Instructions!A346" display="Instructions!A346" xr:uid="{00000000-0004-0000-0300-000009000000}"/>
    <hyperlink ref="E17" location="Instructions!A351" display="Instructions!A351" xr:uid="{00000000-0004-0000-0300-00000A000000}"/>
    <hyperlink ref="E18" location="Instructions!A355" display="Instructions!A355" xr:uid="{00000000-0004-0000-0300-00000B000000}"/>
    <hyperlink ref="E23" location="Instructions!A367" display="Info" xr:uid="{00000000-0004-0000-0300-00000C000000}"/>
  </hyperlinks>
  <pageMargins left="0.7" right="0.7" top="0.75" bottom="0.75" header="0.3" footer="0.3"/>
  <pageSetup paperSize="9" orientation="portrait" horizontalDpi="0" verticalDpi="0" r:id="rId1"/>
  <drawing r:id="rId2"/>
  <legacyDrawing r:id="rId3"/>
  <picture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B1:H70"/>
  <sheetViews>
    <sheetView showGridLines="0" showRowColHeaders="0" showRuler="0" view="pageLayout" zoomScale="95" zoomScaleNormal="100" zoomScaleSheetLayoutView="100" zoomScalePageLayoutView="95" workbookViewId="0">
      <selection activeCell="C2" sqref="C2"/>
    </sheetView>
  </sheetViews>
  <sheetFormatPr defaultColWidth="9.109375" defaultRowHeight="13.2"/>
  <cols>
    <col min="1" max="1" width="7" style="1" customWidth="1"/>
    <col min="2" max="2" width="20.109375" style="1" customWidth="1"/>
    <col min="3" max="4" width="19.33203125" style="1" customWidth="1"/>
    <col min="5" max="5" width="19.5546875" style="1" customWidth="1"/>
    <col min="6" max="16384" width="9.109375" style="1"/>
  </cols>
  <sheetData>
    <row r="1" spans="2:7" ht="21">
      <c r="B1" s="2" t="str">
        <f>IF('Scope worksheet'!D4="initial screening","Initial Screening for Food Fraud","Vulnerability Assessment for Food Fraud")</f>
        <v>Vulnerability Assessment for Food Fraud</v>
      </c>
    </row>
    <row r="2" spans="2:7" s="41" customFormat="1" ht="22.8" customHeight="1">
      <c r="B2" s="302" t="s">
        <v>53</v>
      </c>
      <c r="C2" s="303" t="str">
        <f>IF('Scope worksheet'!D6="Insert name of material or material group here","Enter group name on scope worksheet",'Scope worksheet'!D6)</f>
        <v>Enter group name on scope worksheet</v>
      </c>
      <c r="D2" s="268"/>
    </row>
    <row r="3" spans="2:7" ht="24" customHeight="1">
      <c r="B3" s="161" t="s">
        <v>31</v>
      </c>
      <c r="C3" s="556" t="str">
        <f>IF('Scope worksheet'!D7="Type the name of the food business here","Name of food business",'Scope worksheet'!D7)</f>
        <v>Name of food business</v>
      </c>
      <c r="D3" s="556"/>
      <c r="E3" s="556"/>
      <c r="F3" s="193"/>
    </row>
    <row r="4" spans="2:7" ht="24" customHeight="1">
      <c r="B4" s="161" t="s">
        <v>190</v>
      </c>
      <c r="C4" s="556" t="str">
        <f>'Scope worksheet'!D8</f>
        <v>Site(s) for this assessment</v>
      </c>
      <c r="D4" s="556"/>
      <c r="E4" s="556"/>
      <c r="F4" s="193"/>
    </row>
    <row r="5" spans="2:7" ht="24" customHeight="1">
      <c r="B5" s="161" t="s">
        <v>2</v>
      </c>
      <c r="C5" s="556" t="str">
        <f>IF('Scope worksheet'!C10="insert your name here","Enter your name on the scope worksheet",'Scope worksheet'!C10)</f>
        <v>Enter your name on the scope worksheet</v>
      </c>
      <c r="D5" s="556"/>
      <c r="E5" s="556"/>
      <c r="F5" s="193"/>
    </row>
    <row r="6" spans="2:7" ht="24" customHeight="1">
      <c r="B6" s="14"/>
      <c r="C6" s="556" t="str">
        <f>IF('Scope worksheet'!C11="insert your job title here","Enter your job title on the scope worksheet",'Scope worksheet'!C11)</f>
        <v>Enter your job title on the scope worksheet</v>
      </c>
      <c r="D6" s="556"/>
      <c r="E6" s="556"/>
      <c r="F6" s="92"/>
    </row>
    <row r="7" spans="2:7" ht="24" customHeight="1">
      <c r="B7" s="161" t="s">
        <v>3</v>
      </c>
      <c r="C7" s="197">
        <f ca="1">'Scope worksheet'!C13</f>
        <v>43542</v>
      </c>
      <c r="D7" s="196"/>
      <c r="E7" s="198"/>
      <c r="F7" s="8"/>
      <c r="G7" s="4"/>
    </row>
    <row r="8" spans="2:7" ht="24" customHeight="1">
      <c r="B8" s="161" t="s">
        <v>7</v>
      </c>
      <c r="C8" s="197">
        <f ca="1">'Scope worksheet'!C14</f>
        <v>43908</v>
      </c>
      <c r="D8" s="198"/>
      <c r="E8" s="198"/>
      <c r="F8" s="8"/>
      <c r="G8" s="39"/>
    </row>
    <row r="9" spans="2:7" ht="29.4" customHeight="1">
      <c r="B9" s="5" t="s">
        <v>203</v>
      </c>
      <c r="C9" s="195"/>
      <c r="D9" s="8"/>
      <c r="E9" s="8"/>
      <c r="F9" s="8"/>
      <c r="G9" s="39"/>
    </row>
    <row r="10" spans="2:7" ht="67.8" customHeight="1">
      <c r="B10" s="554" t="str">
        <f>IF('Scope worksheet'!D4="initial screening",'calc sheet'!A29,IF('Scope worksheet'!D5="product",'calc sheet'!A28,'calc sheet'!A27))</f>
        <v>This is an assessment of vulnerability to food fraud for the ingredient(s) and/or raw material(s) listed below, including vulnerability to economically motivated adulteration, substitution, dilution, mislabelling, stolen goods, theft and counterfeiting.  It assesses vulnerabilities prior to receipt and use of the material and vulnerabilities within this facility.</v>
      </c>
      <c r="C10" s="555"/>
      <c r="D10" s="555"/>
      <c r="E10" s="555"/>
      <c r="F10" s="8"/>
      <c r="G10" s="39"/>
    </row>
    <row r="11" spans="2:7" ht="23.25" customHeight="1">
      <c r="B11" s="5" t="s">
        <v>202</v>
      </c>
      <c r="F11" s="4"/>
      <c r="G11" s="4"/>
    </row>
    <row r="12" spans="2:7" ht="8.25" customHeight="1">
      <c r="F12" s="4"/>
      <c r="G12" s="4"/>
    </row>
    <row r="13" spans="2:7" ht="28.5" customHeight="1">
      <c r="B13" s="199" t="str">
        <f>IF('Scope worksheet'!D5="product","Product group","Material group")</f>
        <v>Material group</v>
      </c>
      <c r="C13" s="557" t="str">
        <f>$C$2</f>
        <v>Enter group name on scope worksheet</v>
      </c>
      <c r="D13" s="557"/>
      <c r="E13" s="558"/>
      <c r="F13" s="4"/>
      <c r="G13" s="4"/>
    </row>
    <row r="14" spans="2:7" ht="32.25" customHeight="1">
      <c r="B14" s="200" t="s">
        <v>204</v>
      </c>
      <c r="C14" s="559" t="str">
        <f>IF('Scope worksheet'!D19="Type a description of the group of materials here","",'Scope worksheet'!D19)</f>
        <v/>
      </c>
      <c r="D14" s="559"/>
      <c r="E14" s="560"/>
    </row>
    <row r="15" spans="2:7" ht="45" customHeight="1">
      <c r="B15" s="194" t="str">
        <f>IF('Scope worksheet'!D5="product","","Used in these products")</f>
        <v>Used in these products</v>
      </c>
      <c r="C15" s="551" t="str">
        <f>IF('Scope worksheet'!D5="product","",IF('Scope worksheet'!D20="Briefly describe product range/s that contain this ingredient or raw material.  If you need more space, use product list sheet.","",'Scope worksheet'!D20))</f>
        <v/>
      </c>
      <c r="D15" s="552"/>
      <c r="E15" s="553"/>
    </row>
    <row r="16" spans="2:7" ht="37.5" customHeight="1">
      <c r="B16" s="548" t="str">
        <f>'Scope worksheet'!B21</f>
        <v>Material names and/or codes included in this assessment</v>
      </c>
      <c r="C16" s="549"/>
      <c r="D16" s="549"/>
      <c r="E16" s="550"/>
    </row>
    <row r="17" spans="2:5">
      <c r="B17" s="40" t="str">
        <f>IF('Scope worksheet'!B22="add material names","",'Scope worksheet'!B22)</f>
        <v/>
      </c>
      <c r="C17" s="40" t="str">
        <f>IF('Scope worksheet'!C22="","",'Scope worksheet'!C22)</f>
        <v/>
      </c>
      <c r="D17" s="40" t="str">
        <f>IF('Scope worksheet'!D22="","",'Scope worksheet'!D22)</f>
        <v/>
      </c>
      <c r="E17" s="40" t="str">
        <f>IF('Scope worksheet'!E22="","",'Scope worksheet'!E22)</f>
        <v/>
      </c>
    </row>
    <row r="18" spans="2:5">
      <c r="B18" s="40" t="str">
        <f>IF('Scope worksheet'!B23="","",'Scope worksheet'!B23)</f>
        <v/>
      </c>
      <c r="C18" s="40" t="str">
        <f>IF('Scope worksheet'!C23="","",'Scope worksheet'!C23)</f>
        <v/>
      </c>
      <c r="D18" s="40" t="str">
        <f>IF('Scope worksheet'!D23="","",'Scope worksheet'!D23)</f>
        <v/>
      </c>
      <c r="E18" s="40" t="str">
        <f>IF('Scope worksheet'!E23="","",'Scope worksheet'!E23)</f>
        <v/>
      </c>
    </row>
    <row r="19" spans="2:5">
      <c r="B19" s="40" t="str">
        <f>IF('Scope worksheet'!B24="","",'Scope worksheet'!B24)</f>
        <v/>
      </c>
      <c r="C19" s="40" t="str">
        <f>IF('Scope worksheet'!C24="","",'Scope worksheet'!C24)</f>
        <v/>
      </c>
      <c r="D19" s="40" t="str">
        <f>IF('Scope worksheet'!D24="","",'Scope worksheet'!D24)</f>
        <v/>
      </c>
      <c r="E19" s="40" t="str">
        <f>IF('Scope worksheet'!E24="","",'Scope worksheet'!E24)</f>
        <v/>
      </c>
    </row>
    <row r="20" spans="2:5">
      <c r="B20" s="40" t="str">
        <f>IF('Scope worksheet'!B25="","",'Scope worksheet'!B25)</f>
        <v/>
      </c>
      <c r="C20" s="40" t="str">
        <f>IF('Scope worksheet'!C25="","",'Scope worksheet'!C25)</f>
        <v/>
      </c>
      <c r="D20" s="40" t="str">
        <f>IF('Scope worksheet'!D25="","",'Scope worksheet'!D25)</f>
        <v/>
      </c>
      <c r="E20" s="40" t="str">
        <f>IF('Scope worksheet'!E25="","",'Scope worksheet'!E25)</f>
        <v/>
      </c>
    </row>
    <row r="21" spans="2:5">
      <c r="B21" s="40" t="str">
        <f>IF('Scope worksheet'!B26="","",'Scope worksheet'!B26)</f>
        <v/>
      </c>
      <c r="C21" s="40" t="str">
        <f>IF('Scope worksheet'!C26="","",'Scope worksheet'!C26)</f>
        <v/>
      </c>
      <c r="D21" s="40" t="str">
        <f>IF('Scope worksheet'!D26="","",'Scope worksheet'!D26)</f>
        <v/>
      </c>
      <c r="E21" s="40" t="str">
        <f>IF('Scope worksheet'!E26="","",'Scope worksheet'!E26)</f>
        <v/>
      </c>
    </row>
    <row r="22" spans="2:5">
      <c r="B22" s="40" t="str">
        <f>IF('Scope worksheet'!B27="","",'Scope worksheet'!B27)</f>
        <v/>
      </c>
      <c r="C22" s="40" t="str">
        <f>IF('Scope worksheet'!C27="","",'Scope worksheet'!C27)</f>
        <v/>
      </c>
      <c r="D22" s="40" t="str">
        <f>IF('Scope worksheet'!D27="","",'Scope worksheet'!D27)</f>
        <v/>
      </c>
      <c r="E22" s="40" t="str">
        <f>IF('Scope worksheet'!E27="","",'Scope worksheet'!E27)</f>
        <v/>
      </c>
    </row>
    <row r="23" spans="2:5">
      <c r="B23" s="40" t="str">
        <f>IF('Scope worksheet'!B28="","",'Scope worksheet'!B28)</f>
        <v/>
      </c>
      <c r="C23" s="40" t="str">
        <f>IF('Scope worksheet'!C28="","",'Scope worksheet'!C28)</f>
        <v/>
      </c>
      <c r="D23" s="40" t="str">
        <f>IF('Scope worksheet'!D28="","",'Scope worksheet'!D28)</f>
        <v/>
      </c>
      <c r="E23" s="40" t="str">
        <f>IF('Scope worksheet'!E28="","",'Scope worksheet'!E28)</f>
        <v/>
      </c>
    </row>
    <row r="24" spans="2:5">
      <c r="B24" s="40" t="str">
        <f>IF('Scope worksheet'!B29="","",'Scope worksheet'!B29)</f>
        <v/>
      </c>
      <c r="C24" s="40" t="str">
        <f>IF('Scope worksheet'!C29="","",'Scope worksheet'!C29)</f>
        <v/>
      </c>
      <c r="D24" s="40" t="str">
        <f>IF('Scope worksheet'!D29="","",'Scope worksheet'!D29)</f>
        <v/>
      </c>
      <c r="E24" s="40" t="str">
        <f>IF('Scope worksheet'!E29="","",'Scope worksheet'!E29)</f>
        <v/>
      </c>
    </row>
    <row r="25" spans="2:5">
      <c r="B25" s="40" t="str">
        <f>IF('Scope worksheet'!B30="","",'Scope worksheet'!B30)</f>
        <v/>
      </c>
      <c r="C25" s="40" t="str">
        <f>IF('Scope worksheet'!C30="","",'Scope worksheet'!C30)</f>
        <v/>
      </c>
      <c r="D25" s="40" t="str">
        <f>IF('Scope worksheet'!D30="","",'Scope worksheet'!D30)</f>
        <v/>
      </c>
      <c r="E25" s="40" t="str">
        <f>IF('Scope worksheet'!E30="","",'Scope worksheet'!E30)</f>
        <v/>
      </c>
    </row>
    <row r="26" spans="2:5">
      <c r="B26" s="40" t="str">
        <f>IF('Scope worksheet'!B31="","",'Scope worksheet'!B31)</f>
        <v/>
      </c>
      <c r="C26" s="40" t="str">
        <f>IF('Scope worksheet'!C31="","",'Scope worksheet'!C31)</f>
        <v/>
      </c>
      <c r="D26" s="40" t="str">
        <f>IF('Scope worksheet'!D31="","",'Scope worksheet'!D31)</f>
        <v/>
      </c>
      <c r="E26" s="40" t="str">
        <f>IF('Scope worksheet'!E31="","",'Scope worksheet'!E31)</f>
        <v/>
      </c>
    </row>
    <row r="27" spans="2:5">
      <c r="B27" s="40" t="str">
        <f>IF('Scope worksheet'!B32="","",'Scope worksheet'!B32)</f>
        <v/>
      </c>
      <c r="C27" s="40" t="str">
        <f>IF('Scope worksheet'!C32="","",'Scope worksheet'!C32)</f>
        <v/>
      </c>
      <c r="D27" s="40" t="str">
        <f>IF('Scope worksheet'!D32="","",'Scope worksheet'!D32)</f>
        <v/>
      </c>
      <c r="E27" s="40" t="str">
        <f>IF('Scope worksheet'!E32="","",'Scope worksheet'!E32)</f>
        <v/>
      </c>
    </row>
    <row r="28" spans="2:5">
      <c r="B28" s="40" t="str">
        <f>IF('Scope worksheet'!B33="","",'Scope worksheet'!B33)</f>
        <v/>
      </c>
      <c r="C28" s="40" t="str">
        <f>IF('Scope worksheet'!C33="","",'Scope worksheet'!C33)</f>
        <v/>
      </c>
      <c r="D28" s="40" t="str">
        <f>IF('Scope worksheet'!D33="","",'Scope worksheet'!D33)</f>
        <v/>
      </c>
      <c r="E28" s="40" t="str">
        <f>IF('Scope worksheet'!E33="","",'Scope worksheet'!E33)</f>
        <v/>
      </c>
    </row>
    <row r="29" spans="2:5">
      <c r="B29" s="40" t="str">
        <f>IF('Scope worksheet'!B34="","",'Scope worksheet'!B34)</f>
        <v/>
      </c>
      <c r="C29" s="40" t="str">
        <f>IF('Scope worksheet'!C34="","",'Scope worksheet'!C34)</f>
        <v/>
      </c>
      <c r="D29" s="40" t="str">
        <f>IF('Scope worksheet'!D34="","",'Scope worksheet'!D34)</f>
        <v/>
      </c>
      <c r="E29" s="40" t="str">
        <f>IF('Scope worksheet'!E34="","",'Scope worksheet'!E34)</f>
        <v/>
      </c>
    </row>
    <row r="30" spans="2:5">
      <c r="B30" s="40" t="str">
        <f>IF('Scope worksheet'!B35="","",'Scope worksheet'!B35)</f>
        <v/>
      </c>
      <c r="C30" s="40" t="str">
        <f>IF('Scope worksheet'!C35="","",'Scope worksheet'!C35)</f>
        <v/>
      </c>
      <c r="D30" s="40" t="str">
        <f>IF('Scope worksheet'!D35="","",'Scope worksheet'!D35)</f>
        <v/>
      </c>
      <c r="E30" s="40" t="str">
        <f>IF('Scope worksheet'!E35="","",'Scope worksheet'!E35)</f>
        <v/>
      </c>
    </row>
    <row r="31" spans="2:5">
      <c r="B31" s="40" t="str">
        <f>IF('Scope worksheet'!B36="","",'Scope worksheet'!B36)</f>
        <v/>
      </c>
      <c r="C31" s="40" t="str">
        <f>IF('Scope worksheet'!C36="","",'Scope worksheet'!C36)</f>
        <v/>
      </c>
      <c r="D31" s="40" t="str">
        <f>IF('Scope worksheet'!D36="","",'Scope worksheet'!D36)</f>
        <v/>
      </c>
      <c r="E31" s="40" t="str">
        <f>IF('Scope worksheet'!E36="","",'Scope worksheet'!E36)</f>
        <v/>
      </c>
    </row>
    <row r="32" spans="2:5">
      <c r="B32" s="40" t="str">
        <f>IF('Scope worksheet'!B37="","",'Scope worksheet'!B37)</f>
        <v/>
      </c>
      <c r="C32" s="40" t="str">
        <f>IF('Scope worksheet'!C37="","",'Scope worksheet'!C37)</f>
        <v/>
      </c>
      <c r="D32" s="40" t="str">
        <f>IF('Scope worksheet'!D37="","",'Scope worksheet'!D37)</f>
        <v/>
      </c>
      <c r="E32" s="40" t="str">
        <f>IF('Scope worksheet'!E37="","",'Scope worksheet'!E37)</f>
        <v/>
      </c>
    </row>
    <row r="33" spans="2:8">
      <c r="B33" s="40" t="str">
        <f>IF('Scope worksheet'!B38="","",'Scope worksheet'!B38)</f>
        <v/>
      </c>
      <c r="C33" s="40" t="str">
        <f>IF('Scope worksheet'!C38="","",'Scope worksheet'!C38)</f>
        <v/>
      </c>
      <c r="D33" s="40" t="str">
        <f>IF('Scope worksheet'!D38="","",'Scope worksheet'!D38)</f>
        <v/>
      </c>
      <c r="E33" s="40" t="str">
        <f>IF('Scope worksheet'!E38="","",'Scope worksheet'!E38)</f>
        <v/>
      </c>
    </row>
    <row r="34" spans="2:8">
      <c r="B34" s="40" t="str">
        <f>IF('Scope worksheet'!B39="","",'Scope worksheet'!B39)</f>
        <v/>
      </c>
      <c r="C34" s="40" t="str">
        <f>IF('Scope worksheet'!C39="","",'Scope worksheet'!C39)</f>
        <v/>
      </c>
      <c r="D34" s="40" t="str">
        <f>IF('Scope worksheet'!D39="","",'Scope worksheet'!D39)</f>
        <v/>
      </c>
      <c r="E34" s="40" t="str">
        <f>IF('Scope worksheet'!E39="","",'Scope worksheet'!E39)</f>
        <v/>
      </c>
    </row>
    <row r="35" spans="2:8">
      <c r="B35" s="40" t="str">
        <f>IF('Scope worksheet'!B40="","",'Scope worksheet'!B40)</f>
        <v/>
      </c>
      <c r="C35" s="40" t="str">
        <f>IF('Scope worksheet'!C40="","",'Scope worksheet'!C40)</f>
        <v/>
      </c>
      <c r="D35" s="40" t="str">
        <f>IF('Scope worksheet'!D40="","",'Scope worksheet'!D40)</f>
        <v/>
      </c>
      <c r="E35" s="40" t="str">
        <f>IF('Scope worksheet'!E40="","",'Scope worksheet'!E40)</f>
        <v/>
      </c>
    </row>
    <row r="36" spans="2:8">
      <c r="B36" s="40" t="str">
        <f>IF('Scope worksheet'!B41="","",'Scope worksheet'!B41)</f>
        <v/>
      </c>
      <c r="C36" s="40" t="str">
        <f>IF('Scope worksheet'!C41="","",'Scope worksheet'!C41)</f>
        <v/>
      </c>
      <c r="D36" s="40" t="str">
        <f>IF('Scope worksheet'!D41="","",'Scope worksheet'!D41)</f>
        <v/>
      </c>
      <c r="E36" s="40" t="str">
        <f>IF('Scope worksheet'!E41="","",'Scope worksheet'!E41)</f>
        <v/>
      </c>
    </row>
    <row r="37" spans="2:8">
      <c r="B37" s="40" t="str">
        <f>IF('Scope worksheet'!B42="","",'Scope worksheet'!B42)</f>
        <v/>
      </c>
      <c r="C37" s="40" t="str">
        <f>IF('Scope worksheet'!C42="","",'Scope worksheet'!C42)</f>
        <v/>
      </c>
      <c r="D37" s="40" t="str">
        <f>IF('Scope worksheet'!D42="","",'Scope worksheet'!D42)</f>
        <v/>
      </c>
      <c r="E37" s="40" t="str">
        <f>IF('Scope worksheet'!E42="","",'Scope worksheet'!E42)</f>
        <v/>
      </c>
    </row>
    <row r="38" spans="2:8" ht="8.4" customHeight="1"/>
    <row r="39" spans="2:8" ht="21">
      <c r="B39" s="2" t="s">
        <v>241</v>
      </c>
      <c r="F39" s="13"/>
    </row>
    <row r="40" spans="2:8" ht="18" customHeight="1">
      <c r="B40" s="301" t="str">
        <f>IF('Scope worksheet'!D6="Insert name of material or material group here","Enter group name on scope worksheet",'Scope worksheet'!D6)</f>
        <v>Enter group name on scope worksheet</v>
      </c>
    </row>
    <row r="41" spans="2:8" ht="13.8" customHeight="1">
      <c r="B41" s="217" t="s">
        <v>251</v>
      </c>
      <c r="C41" s="13"/>
      <c r="D41" s="27"/>
      <c r="E41" s="27"/>
      <c r="F41" s="27"/>
      <c r="G41" s="27"/>
      <c r="H41" s="28"/>
    </row>
    <row r="42" spans="2:8" ht="5.4" customHeight="1">
      <c r="B42" s="207"/>
      <c r="C42" s="207"/>
      <c r="D42" s="205"/>
      <c r="E42" s="205"/>
      <c r="F42" s="205"/>
      <c r="G42" s="205"/>
      <c r="H42" s="206"/>
    </row>
    <row r="43" spans="2:8" ht="51" customHeight="1">
      <c r="B43" s="208" t="str">
        <f>IF(AND('calc sheet'!$H$51=0,'calc sheet'!$H$55=0),"Relatively unlikely to occur, less severe impact","")</f>
        <v/>
      </c>
      <c r="C43" s="209" t="str">
        <f>IF(AND('calc sheet'!$H$51=1,'calc sheet'!$H$55=0),"Relatively likely to occur, less severe impact","")</f>
        <v/>
      </c>
      <c r="D43" s="205"/>
      <c r="E43" s="205"/>
      <c r="F43" s="206"/>
      <c r="G43" s="206"/>
    </row>
    <row r="44" spans="2:8" ht="50.4" customHeight="1">
      <c r="B44" s="209" t="str">
        <f>IF(AND('calc sheet'!$H$51=0,'calc sheet'!$H$55=1),"Relatively unlikely to occur, severe impact","")</f>
        <v/>
      </c>
      <c r="C44" s="210" t="str">
        <f>IF(AND('calc sheet'!$H$51=1,'calc sheet'!$H$55=1),"Relatively likely to occur, severe impact","")</f>
        <v>Relatively likely to occur, severe impact</v>
      </c>
      <c r="D44" s="205"/>
      <c r="E44" s="205"/>
      <c r="F44" s="206"/>
      <c r="G44" s="206"/>
    </row>
    <row r="45" spans="2:8" ht="6" customHeight="1">
      <c r="B45" s="207"/>
      <c r="C45" s="207"/>
      <c r="D45" s="205"/>
      <c r="E45" s="205"/>
      <c r="F45" s="205"/>
      <c r="G45" s="206"/>
      <c r="H45" s="206"/>
    </row>
    <row r="46" spans="2:8" ht="7.2" customHeight="1"/>
    <row r="47" spans="2:8">
      <c r="B47" s="52" t="s">
        <v>56</v>
      </c>
      <c r="C47" s="45"/>
      <c r="D47" s="45"/>
      <c r="E47" s="46"/>
    </row>
    <row r="48" spans="2:8">
      <c r="B48" s="47" t="s">
        <v>242</v>
      </c>
      <c r="C48" s="48"/>
      <c r="D48" s="48"/>
      <c r="E48" s="49"/>
    </row>
    <row r="49" spans="2:8">
      <c r="B49" s="47" t="s">
        <v>243</v>
      </c>
      <c r="C49" s="48"/>
      <c r="D49" s="48"/>
      <c r="E49" s="49"/>
    </row>
    <row r="50" spans="2:8">
      <c r="B50" s="53" t="s">
        <v>58</v>
      </c>
      <c r="C50" s="50"/>
      <c r="D50" s="50"/>
      <c r="E50" s="51"/>
    </row>
    <row r="51" spans="2:8" ht="9.6" customHeight="1">
      <c r="B51" s="43"/>
      <c r="C51" s="44"/>
      <c r="D51" s="44"/>
      <c r="E51" s="44"/>
      <c r="F51" s="44"/>
      <c r="G51" s="44"/>
      <c r="H51" s="43"/>
    </row>
    <row r="52" spans="2:8" s="8" customFormat="1" ht="21.6" customHeight="1">
      <c r="B52" s="212" t="s">
        <v>245</v>
      </c>
    </row>
    <row r="53" spans="2:8" ht="28.8" customHeight="1">
      <c r="B53" s="213" t="s">
        <v>66</v>
      </c>
      <c r="C53" s="539" t="str">
        <f>'Initial screening (optional)'!I10</f>
        <v/>
      </c>
      <c r="D53" s="540"/>
      <c r="E53" s="541"/>
    </row>
    <row r="54" spans="2:8" ht="28.8" customHeight="1">
      <c r="B54" s="214"/>
      <c r="C54" s="536" t="str">
        <f>IF('Initial screening (optional)'!J10="","",'Initial screening (optional)'!J10)</f>
        <v/>
      </c>
      <c r="D54" s="537"/>
      <c r="E54" s="538"/>
    </row>
    <row r="55" spans="2:8" ht="28.8" customHeight="1">
      <c r="B55" s="213" t="s">
        <v>67</v>
      </c>
      <c r="C55" s="539" t="str">
        <f>'Initial screening (optional)'!I11</f>
        <v/>
      </c>
      <c r="D55" s="540"/>
      <c r="E55" s="541"/>
    </row>
    <row r="56" spans="2:8" ht="28.8" customHeight="1">
      <c r="B56" s="214"/>
      <c r="C56" s="536" t="str">
        <f>IF('Initial screening (optional)'!J11="","",'Initial screening (optional)'!J11)</f>
        <v/>
      </c>
      <c r="D56" s="537"/>
      <c r="E56" s="538"/>
    </row>
    <row r="57" spans="2:8" ht="28.8" customHeight="1">
      <c r="B57" s="213" t="s">
        <v>249</v>
      </c>
      <c r="C57" s="539" t="str">
        <f>'Initial screening (optional)'!I12</f>
        <v/>
      </c>
      <c r="D57" s="540"/>
      <c r="E57" s="541"/>
    </row>
    <row r="58" spans="2:8" ht="28.8" customHeight="1">
      <c r="B58" s="214"/>
      <c r="C58" s="542" t="str">
        <f>IF('Initial screening (optional)'!J12="","",'Initial screening (optional)'!J12)</f>
        <v/>
      </c>
      <c r="D58" s="543"/>
      <c r="E58" s="544"/>
    </row>
    <row r="59" spans="2:8" ht="28.8" customHeight="1">
      <c r="B59" s="218" t="s">
        <v>104</v>
      </c>
      <c r="C59" s="539" t="str">
        <f>'Initial screening (optional)'!I13</f>
        <v>This material is relatively like to be affected by food fraud</v>
      </c>
      <c r="D59" s="540"/>
      <c r="E59" s="541"/>
    </row>
    <row r="60" spans="2:8" ht="28.8" customHeight="1">
      <c r="B60" s="219"/>
      <c r="C60" s="536" t="str">
        <f>IF('Initial screening (optional)'!J13="","",'Initial screening (optional)'!J13)</f>
        <v/>
      </c>
      <c r="D60" s="537"/>
      <c r="E60" s="538"/>
    </row>
    <row r="61" spans="2:8" ht="3" customHeight="1">
      <c r="C61" s="211"/>
      <c r="D61" s="211"/>
      <c r="E61" s="211"/>
    </row>
    <row r="62" spans="2:8" s="8" customFormat="1" ht="21.6" customHeight="1">
      <c r="B62" s="212" t="s">
        <v>248</v>
      </c>
      <c r="C62" s="147"/>
      <c r="D62" s="147"/>
      <c r="E62" s="147"/>
    </row>
    <row r="63" spans="2:8" ht="28.8" customHeight="1">
      <c r="B63" s="213" t="s">
        <v>222</v>
      </c>
      <c r="C63" s="539" t="str">
        <f>'Initial screening (optional)'!I17</f>
        <v/>
      </c>
      <c r="D63" s="540"/>
      <c r="E63" s="541"/>
    </row>
    <row r="64" spans="2:8" ht="28.8" customHeight="1">
      <c r="B64" s="214"/>
      <c r="C64" s="536" t="str">
        <f>IF('Initial screening (optional)'!J17="","",'Initial screening (optional)'!J17)</f>
        <v/>
      </c>
      <c r="D64" s="537"/>
      <c r="E64" s="538"/>
    </row>
    <row r="65" spans="2:5" ht="28.8" customHeight="1">
      <c r="B65" s="213" t="s">
        <v>224</v>
      </c>
      <c r="C65" s="539" t="str">
        <f>'Initial screening (optional)'!I18</f>
        <v/>
      </c>
      <c r="D65" s="540"/>
      <c r="E65" s="541"/>
    </row>
    <row r="66" spans="2:5" ht="28.8" customHeight="1">
      <c r="B66" s="214"/>
      <c r="C66" s="536" t="str">
        <f>IF('Initial screening (optional)'!J18="","",'Initial screening (optional)'!J18)</f>
        <v/>
      </c>
      <c r="D66" s="537"/>
      <c r="E66" s="538"/>
    </row>
    <row r="67" spans="2:5" ht="28.8" customHeight="1">
      <c r="B67" s="215" t="s">
        <v>250</v>
      </c>
      <c r="C67" s="539" t="str">
        <f>'Initial screening (optional)'!I19</f>
        <v/>
      </c>
      <c r="D67" s="540"/>
      <c r="E67" s="541"/>
    </row>
    <row r="68" spans="2:5" ht="28.8" customHeight="1">
      <c r="B68" s="216"/>
      <c r="C68" s="542" t="str">
        <f>IF('Initial screening (optional)'!J19="","",'Initial screening (optional)'!J19)</f>
        <v/>
      </c>
      <c r="D68" s="543"/>
      <c r="E68" s="544"/>
    </row>
    <row r="69" spans="2:5" ht="28.8" customHeight="1">
      <c r="B69" s="220" t="s">
        <v>298</v>
      </c>
      <c r="C69" s="545" t="str">
        <f>'Initial screening (optional)'!I20</f>
        <v>Food fraud in this material would have severe impacts on the business.</v>
      </c>
      <c r="D69" s="546"/>
      <c r="E69" s="547"/>
    </row>
    <row r="70" spans="2:5" ht="28.8" customHeight="1">
      <c r="B70" s="221"/>
      <c r="C70" s="536" t="str">
        <f>IF('Initial screening (optional)'!J20="","",'Initial screening (optional)'!J20)</f>
        <v/>
      </c>
      <c r="D70" s="537"/>
      <c r="E70" s="538"/>
    </row>
  </sheetData>
  <sheetProtection algorithmName="SHA-512" hashValue="YnsHfVaBlW1zBQWgRsRTuimpctS121o6+COw+K5Cx4xX7eBd2k28FYPALaykgRVWkcNXESF24SQIYhRvfjMf1Q==" saltValue="Yx+NYnWbGzlw/BbGkvIHyA==" spinCount="100000" sheet="1" formatCells="0" formatColumns="0" formatRows="0" insertColumns="0" insertRows="0" deleteRows="0"/>
  <mergeCells count="25">
    <mergeCell ref="B16:E16"/>
    <mergeCell ref="C15:E15"/>
    <mergeCell ref="B10:E10"/>
    <mergeCell ref="C3:E3"/>
    <mergeCell ref="C4:E4"/>
    <mergeCell ref="C5:E5"/>
    <mergeCell ref="C6:E6"/>
    <mergeCell ref="C13:E13"/>
    <mergeCell ref="C14:E14"/>
    <mergeCell ref="C53:E53"/>
    <mergeCell ref="C54:E54"/>
    <mergeCell ref="C55:E55"/>
    <mergeCell ref="C56:E56"/>
    <mergeCell ref="C57:E57"/>
    <mergeCell ref="C58:E58"/>
    <mergeCell ref="C63:E63"/>
    <mergeCell ref="C64:E64"/>
    <mergeCell ref="C65:E65"/>
    <mergeCell ref="C66:E66"/>
    <mergeCell ref="C70:E70"/>
    <mergeCell ref="C67:E67"/>
    <mergeCell ref="C68:E68"/>
    <mergeCell ref="C59:E59"/>
    <mergeCell ref="C60:E60"/>
    <mergeCell ref="C69:E69"/>
  </mergeCells>
  <pageMargins left="0.25" right="0.25" top="0.75" bottom="0.75" header="0.3" footer="0.3"/>
  <pageSetup paperSize="9" orientation="portrait" r:id="rId1"/>
  <headerFooter>
    <oddHeader>&amp;C&amp;K00B050Vulnerability Assessment Tool, Food Fraud Advisors 2019</oddHeader>
    <oddFooter>&amp;CInsert your company's document control features here</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3" id="{DD35396F-A045-461A-92DB-9C8E0A6B4830}">
            <xm:f>'Scope worksheet'!$D$4&lt;&gt;"initial screening"</xm:f>
            <x14:dxf>
              <font>
                <color theme="0"/>
              </font>
              <fill>
                <patternFill patternType="none">
                  <bgColor auto="1"/>
                </patternFill>
              </fill>
              <border>
                <left/>
                <right/>
                <top/>
                <bottom/>
                <vertical/>
                <horizontal/>
              </border>
            </x14:dxf>
          </x14:cfRule>
          <xm:sqref>A39:F71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M1029"/>
  <sheetViews>
    <sheetView showGridLines="0" showRuler="0" view="pageLayout" zoomScaleNormal="100" workbookViewId="0">
      <selection activeCell="F9" sqref="F9:K9"/>
    </sheetView>
  </sheetViews>
  <sheetFormatPr defaultColWidth="17.33203125" defaultRowHeight="15" customHeight="1"/>
  <cols>
    <col min="1" max="1" width="3.44140625" style="1" customWidth="1"/>
    <col min="2" max="2" width="18.33203125" style="1" customWidth="1"/>
    <col min="3" max="8" width="6.44140625" style="1" customWidth="1"/>
    <col min="9" max="15" width="8.6640625" style="1" customWidth="1"/>
    <col min="16" max="16384" width="17.33203125" style="1"/>
  </cols>
  <sheetData>
    <row r="1" spans="1:11" ht="18.75" customHeight="1">
      <c r="B1" s="2" t="s">
        <v>183</v>
      </c>
    </row>
    <row r="2" spans="1:11" ht="9" customHeight="1">
      <c r="B2" s="3"/>
    </row>
    <row r="3" spans="1:11" ht="19.5" customHeight="1">
      <c r="B3" s="42" t="str">
        <f>IF('Scope worksheet'!D4="Initial screening","Disregard this page if you are performing an intial screening",IF('Scope worksheet'!D6="Insert name of material or material group here","Enter material name on scope worksheet",'Scope worksheet'!D6))</f>
        <v>Enter material name on scope worksheet</v>
      </c>
      <c r="C3" s="26"/>
      <c r="D3" s="26"/>
      <c r="E3" s="26"/>
      <c r="F3" s="11"/>
      <c r="G3" s="10"/>
      <c r="H3" s="10"/>
      <c r="I3" s="10"/>
      <c r="J3" s="10"/>
      <c r="K3" s="10"/>
    </row>
    <row r="4" spans="1:11" ht="4.5" customHeight="1">
      <c r="B4" s="4"/>
      <c r="D4" s="4"/>
      <c r="E4" s="4"/>
    </row>
    <row r="5" spans="1:11" ht="4.5" customHeight="1">
      <c r="B5" s="6"/>
      <c r="C5" s="6"/>
      <c r="D5" s="6"/>
      <c r="E5" s="6"/>
      <c r="F5" s="6"/>
    </row>
    <row r="6" spans="1:11" ht="21.75" customHeight="1">
      <c r="B6" s="7" t="s">
        <v>4</v>
      </c>
      <c r="C6" s="6"/>
      <c r="D6" s="6"/>
      <c r="E6" s="6"/>
      <c r="F6" s="6"/>
    </row>
    <row r="7" spans="1:11" ht="10.5" customHeight="1" thickBot="1">
      <c r="D7" s="4"/>
      <c r="E7" s="4"/>
    </row>
    <row r="8" spans="1:11" ht="30" customHeight="1" thickBot="1">
      <c r="B8" s="591" t="s">
        <v>53</v>
      </c>
      <c r="C8" s="592"/>
      <c r="D8" s="592"/>
      <c r="E8" s="592"/>
      <c r="F8" s="593" t="str">
        <f>IF('Scope worksheet'!D4="initial screening","Check that you have chosen the correct option on the scope worksheet",B3)</f>
        <v>Enter material name on scope worksheet</v>
      </c>
      <c r="G8" s="593"/>
      <c r="H8" s="593"/>
      <c r="I8" s="593"/>
      <c r="J8" s="593"/>
      <c r="K8" s="594"/>
    </row>
    <row r="9" spans="1:11" ht="61.2" customHeight="1">
      <c r="A9" s="8"/>
      <c r="B9" s="587" t="s">
        <v>211</v>
      </c>
      <c r="C9" s="588"/>
      <c r="D9" s="588"/>
      <c r="E9" s="588"/>
      <c r="F9" s="595" t="str">
        <f>IF('calc sheet'!$H$24=0,"This is calculated from the data added to the likelihood worksheet",'calc sheet'!$H$24)</f>
        <v>Very unlikely to be affected</v>
      </c>
      <c r="G9" s="595"/>
      <c r="H9" s="595"/>
      <c r="I9" s="595"/>
      <c r="J9" s="595"/>
      <c r="K9" s="596"/>
    </row>
    <row r="10" spans="1:11" ht="63" customHeight="1">
      <c r="B10" s="589" t="s">
        <v>212</v>
      </c>
      <c r="C10" s="590"/>
      <c r="D10" s="590"/>
      <c r="E10" s="590"/>
      <c r="F10" s="597" t="str">
        <f>IF('calc sheet'!$H$28=0,"This is calculated from the data added to the consequences worksheet",'calc sheet'!$H$28)</f>
        <v>Negligible consequences</v>
      </c>
      <c r="G10" s="597"/>
      <c r="H10" s="597"/>
      <c r="I10" s="597"/>
      <c r="J10" s="597"/>
      <c r="K10" s="598"/>
    </row>
    <row r="11" spans="1:11" ht="34.5" customHeight="1" thickBot="1">
      <c r="B11" s="602" t="s">
        <v>63</v>
      </c>
      <c r="C11" s="603"/>
      <c r="D11" s="603"/>
      <c r="E11" s="603"/>
      <c r="F11" s="604" t="str">
        <f>'calc sheet'!H38</f>
        <v>Low risk</v>
      </c>
      <c r="G11" s="604"/>
      <c r="H11" s="604"/>
      <c r="I11" s="604"/>
      <c r="J11" s="604"/>
      <c r="K11" s="605"/>
    </row>
    <row r="12" spans="1:11" ht="7.5" customHeight="1">
      <c r="B12" s="9"/>
    </row>
    <row r="13" spans="1:11" ht="10.8" customHeight="1">
      <c r="B13" s="4" t="str">
        <f>'Likelihood worksheet'!D47</f>
        <v xml:space="preserve"> </v>
      </c>
    </row>
    <row r="14" spans="1:11" s="8" customFormat="1" ht="19.8" customHeight="1">
      <c r="B14" s="445" t="s">
        <v>5</v>
      </c>
    </row>
    <row r="15" spans="1:11" ht="25.5" customHeight="1"/>
    <row r="16" spans="1:11" ht="82.5" customHeight="1">
      <c r="D16" s="27" t="s">
        <v>34</v>
      </c>
      <c r="E16" s="27" t="s">
        <v>35</v>
      </c>
      <c r="F16" s="27" t="s">
        <v>29</v>
      </c>
      <c r="G16" s="27" t="s">
        <v>36</v>
      </c>
      <c r="H16" s="28" t="s">
        <v>54</v>
      </c>
    </row>
    <row r="17" spans="2:13" ht="33.75" customHeight="1">
      <c r="B17" s="584" t="s">
        <v>97</v>
      </c>
      <c r="C17" s="585"/>
      <c r="D17" s="29" t="str">
        <f>IF(AND('calc sheet'!$H$25=1,'calc sheet'!$H$29=1),"X","")</f>
        <v>X</v>
      </c>
      <c r="E17" s="29" t="str">
        <f>IF(AND('calc sheet'!$H$25=2,'calc sheet'!$H$29=1),"X","")</f>
        <v/>
      </c>
      <c r="F17" s="30" t="str">
        <f>IF(AND('calc sheet'!$H$25=3,'calc sheet'!$H$29=1),"X","")</f>
        <v/>
      </c>
      <c r="G17" s="30" t="str">
        <f>IF(AND('calc sheet'!$H$25=4,'calc sheet'!$H$29=1),"X","")</f>
        <v/>
      </c>
      <c r="H17" s="32" t="str">
        <f>IF(AND('calc sheet'!$H$25=5,'calc sheet'!$H$29=1),"X","")</f>
        <v/>
      </c>
    </row>
    <row r="18" spans="2:13" ht="34.5" customHeight="1">
      <c r="B18" s="584" t="s">
        <v>98</v>
      </c>
      <c r="C18" s="585"/>
      <c r="D18" s="29" t="str">
        <f>IF(AND('calc sheet'!$H$25=1,'calc sheet'!$H$29=2),"X","")</f>
        <v/>
      </c>
      <c r="E18" s="29" t="str">
        <f>IF(AND('calc sheet'!$H$25=2,'calc sheet'!$H$29=2),"X","")</f>
        <v/>
      </c>
      <c r="F18" s="30" t="str">
        <f>IF(AND('calc sheet'!$H$25=3,'calc sheet'!$H$29=2),"X","")</f>
        <v/>
      </c>
      <c r="G18" s="31" t="str">
        <f>IF(AND('calc sheet'!$H$25=4,'calc sheet'!$H$29=2),"X","")</f>
        <v/>
      </c>
      <c r="H18" s="32" t="str">
        <f>IF(AND('calc sheet'!$H$25=5,'calc sheet'!$H$29=2),"X","")</f>
        <v/>
      </c>
    </row>
    <row r="19" spans="2:13" ht="33.75" customHeight="1">
      <c r="B19" s="584" t="s">
        <v>99</v>
      </c>
      <c r="C19" s="585"/>
      <c r="D19" s="29" t="str">
        <f>IF(AND('calc sheet'!$H$25=1,'calc sheet'!$H$29=3),"X","")</f>
        <v/>
      </c>
      <c r="E19" s="30" t="str">
        <f>IF(AND('calc sheet'!$H$25=2,'calc sheet'!$H$29=3),"X","")</f>
        <v/>
      </c>
      <c r="F19" s="30" t="str">
        <f>IF(AND('calc sheet'!$H$25=3,'calc sheet'!$H$29=3),"X","")</f>
        <v/>
      </c>
      <c r="G19" s="32" t="str">
        <f>IF(AND('calc sheet'!$H$25=4,'calc sheet'!$H$29=3),"X","")</f>
        <v/>
      </c>
      <c r="H19" s="32" t="str">
        <f>IF(AND('calc sheet'!$H$25=5,'calc sheet'!$H$29=3),"X","")</f>
        <v/>
      </c>
    </row>
    <row r="20" spans="2:13" ht="33.75" customHeight="1">
      <c r="B20" s="584" t="s">
        <v>100</v>
      </c>
      <c r="C20" s="585"/>
      <c r="D20" s="30" t="str">
        <f>IF(AND('calc sheet'!$H$25=1,'calc sheet'!$H$29=4),"X","")</f>
        <v/>
      </c>
      <c r="E20" s="30" t="str">
        <f>IF(AND('calc sheet'!$H$25=2,'calc sheet'!$H$29=4),"X","")</f>
        <v/>
      </c>
      <c r="F20" s="33" t="str">
        <f>IF(AND('calc sheet'!$H$25=3,'calc sheet'!$H$29=4),"X","")</f>
        <v/>
      </c>
      <c r="G20" s="32" t="str">
        <f>IF(AND('calc sheet'!$H$25=4,'calc sheet'!$H$29=4),"X","")</f>
        <v/>
      </c>
      <c r="H20" s="32" t="str">
        <f>IF(AND('calc sheet'!$H$25=5,'calc sheet'!$H$29=4),"X","")</f>
        <v/>
      </c>
    </row>
    <row r="21" spans="2:13" ht="33.75" customHeight="1">
      <c r="B21" s="584" t="s">
        <v>101</v>
      </c>
      <c r="C21" s="585"/>
      <c r="D21" s="30" t="str">
        <f>IF(AND('calc sheet'!$H$25=1,'calc sheet'!$H$29=5),"X","")</f>
        <v/>
      </c>
      <c r="E21" s="33" t="str">
        <f>IF(AND('calc sheet'!$H$25=2,'calc sheet'!$H$29=5),"X","")</f>
        <v/>
      </c>
      <c r="F21" s="33" t="str">
        <f>IF(AND('calc sheet'!$H$25=3,'calc sheet'!$H$29=5),"X","")</f>
        <v/>
      </c>
      <c r="G21" s="32" t="str">
        <f>IF(AND('calc sheet'!$H$25=4,'calc sheet'!$H$29=5),"X","")</f>
        <v/>
      </c>
      <c r="H21" s="32" t="str">
        <f>IF(AND('calc sheet'!$H$25=5,'calc sheet'!$H$29=5),"X","")</f>
        <v/>
      </c>
      <c r="J21" s="13"/>
    </row>
    <row r="22" spans="2:13" ht="28.5" customHeight="1"/>
    <row r="23" spans="2:13" ht="11.25" customHeight="1">
      <c r="B23" s="52" t="s">
        <v>56</v>
      </c>
      <c r="C23" s="45"/>
      <c r="D23" s="45"/>
      <c r="E23" s="45"/>
      <c r="F23" s="45"/>
      <c r="G23" s="45"/>
      <c r="H23" s="45"/>
      <c r="I23" s="45"/>
      <c r="J23" s="45"/>
      <c r="K23" s="46"/>
    </row>
    <row r="24" spans="2:13" ht="11.25" customHeight="1">
      <c r="B24" s="47" t="s">
        <v>57</v>
      </c>
      <c r="C24" s="48"/>
      <c r="D24" s="48"/>
      <c r="E24" s="48"/>
      <c r="F24" s="48"/>
      <c r="G24" s="48"/>
      <c r="H24" s="48"/>
      <c r="I24" s="48"/>
      <c r="J24" s="48"/>
      <c r="K24" s="49"/>
    </row>
    <row r="25" spans="2:13" ht="11.25" customHeight="1">
      <c r="B25" s="47" t="s">
        <v>59</v>
      </c>
      <c r="C25" s="48"/>
      <c r="D25" s="48"/>
      <c r="E25" s="48"/>
      <c r="F25" s="48"/>
      <c r="G25" s="48"/>
      <c r="H25" s="48"/>
      <c r="I25" s="48"/>
      <c r="J25" s="48"/>
      <c r="K25" s="49"/>
    </row>
    <row r="26" spans="2:13" ht="11.25" customHeight="1">
      <c r="B26" s="53" t="s">
        <v>58</v>
      </c>
      <c r="C26" s="50"/>
      <c r="D26" s="50"/>
      <c r="E26" s="50"/>
      <c r="F26" s="50"/>
      <c r="G26" s="50"/>
      <c r="H26" s="50"/>
      <c r="I26" s="50"/>
      <c r="J26" s="50"/>
      <c r="K26" s="51"/>
    </row>
    <row r="27" spans="2:13" ht="32.25" customHeight="1">
      <c r="B27" s="43"/>
      <c r="C27" s="44"/>
      <c r="D27" s="44"/>
      <c r="E27" s="44"/>
      <c r="F27" s="44"/>
      <c r="G27" s="44"/>
      <c r="H27" s="43"/>
    </row>
    <row r="28" spans="2:13" ht="36.6" customHeight="1">
      <c r="B28" s="599" t="s">
        <v>191</v>
      </c>
      <c r="C28" s="600"/>
      <c r="D28" s="600"/>
      <c r="E28" s="600"/>
      <c r="F28" s="600"/>
      <c r="G28" s="600"/>
      <c r="H28" s="600"/>
      <c r="I28" s="600"/>
      <c r="J28" s="600"/>
      <c r="K28" s="601"/>
    </row>
    <row r="29" spans="2:13" ht="36" customHeight="1">
      <c r="B29" s="183" t="s">
        <v>66</v>
      </c>
      <c r="C29" s="564" t="str">
        <f>'Likelihood worksheet'!I10</f>
        <v/>
      </c>
      <c r="D29" s="565"/>
      <c r="E29" s="565"/>
      <c r="F29" s="565"/>
      <c r="G29" s="565"/>
      <c r="H29" s="565"/>
      <c r="I29" s="565"/>
      <c r="J29" s="565"/>
      <c r="K29" s="566"/>
    </row>
    <row r="30" spans="2:13" ht="36" customHeight="1">
      <c r="B30" s="184"/>
      <c r="C30" s="567">
        <f>'Likelihood worksheet'!J10</f>
        <v>0</v>
      </c>
      <c r="D30" s="568"/>
      <c r="E30" s="568"/>
      <c r="F30" s="568"/>
      <c r="G30" s="568"/>
      <c r="H30" s="568"/>
      <c r="I30" s="568"/>
      <c r="J30" s="568"/>
      <c r="K30" s="569"/>
      <c r="M30" s="13"/>
    </row>
    <row r="31" spans="2:13" ht="28.5" customHeight="1">
      <c r="B31" s="183" t="s">
        <v>67</v>
      </c>
      <c r="C31" s="564" t="str">
        <f>'Likelihood worksheet'!I11</f>
        <v/>
      </c>
      <c r="D31" s="565"/>
      <c r="E31" s="565"/>
      <c r="F31" s="565"/>
      <c r="G31" s="565"/>
      <c r="H31" s="565"/>
      <c r="I31" s="565"/>
      <c r="J31" s="565"/>
      <c r="K31" s="566"/>
    </row>
    <row r="32" spans="2:13" ht="30.75" customHeight="1">
      <c r="B32" s="184"/>
      <c r="C32" s="570">
        <f>'Likelihood worksheet'!J11</f>
        <v>0</v>
      </c>
      <c r="D32" s="571"/>
      <c r="E32" s="571"/>
      <c r="F32" s="571"/>
      <c r="G32" s="571"/>
      <c r="H32" s="571"/>
      <c r="I32" s="571"/>
      <c r="J32" s="571"/>
      <c r="K32" s="572"/>
    </row>
    <row r="33" spans="2:13" ht="24.75" customHeight="1">
      <c r="B33" s="183" t="s">
        <v>41</v>
      </c>
      <c r="C33" s="564" t="str">
        <f>'Likelihood worksheet'!I12</f>
        <v/>
      </c>
      <c r="D33" s="565"/>
      <c r="E33" s="565"/>
      <c r="F33" s="565"/>
      <c r="G33" s="565"/>
      <c r="H33" s="565"/>
      <c r="I33" s="565"/>
      <c r="J33" s="565"/>
      <c r="K33" s="566"/>
    </row>
    <row r="34" spans="2:13" ht="24.75" customHeight="1">
      <c r="B34" s="185"/>
      <c r="C34" s="567">
        <f>'Likelihood worksheet'!J12</f>
        <v>0</v>
      </c>
      <c r="D34" s="568"/>
      <c r="E34" s="568"/>
      <c r="F34" s="568"/>
      <c r="G34" s="568"/>
      <c r="H34" s="568"/>
      <c r="I34" s="568"/>
      <c r="J34" s="568"/>
      <c r="K34" s="569"/>
    </row>
    <row r="35" spans="2:13" ht="24.75" customHeight="1">
      <c r="B35" s="183" t="s">
        <v>0</v>
      </c>
      <c r="C35" s="564" t="str">
        <f>'Likelihood worksheet'!I13</f>
        <v/>
      </c>
      <c r="D35" s="565"/>
      <c r="E35" s="565"/>
      <c r="F35" s="565"/>
      <c r="G35" s="565"/>
      <c r="H35" s="565"/>
      <c r="I35" s="565"/>
      <c r="J35" s="565"/>
      <c r="K35" s="566"/>
    </row>
    <row r="36" spans="2:13" ht="24.75" customHeight="1">
      <c r="B36" s="185"/>
      <c r="C36" s="567">
        <f>'Likelihood worksheet'!J13</f>
        <v>0</v>
      </c>
      <c r="D36" s="568"/>
      <c r="E36" s="568"/>
      <c r="F36" s="568"/>
      <c r="G36" s="568"/>
      <c r="H36" s="568"/>
      <c r="I36" s="568"/>
      <c r="J36" s="568"/>
      <c r="K36" s="569"/>
    </row>
    <row r="37" spans="2:13" ht="24.75" customHeight="1">
      <c r="B37" s="183" t="s">
        <v>37</v>
      </c>
      <c r="C37" s="564" t="str">
        <f>'Likelihood worksheet'!I14</f>
        <v/>
      </c>
      <c r="D37" s="565"/>
      <c r="E37" s="565"/>
      <c r="F37" s="565"/>
      <c r="G37" s="565"/>
      <c r="H37" s="565"/>
      <c r="I37" s="565"/>
      <c r="J37" s="565"/>
      <c r="K37" s="566"/>
    </row>
    <row r="38" spans="2:13" ht="24.75" customHeight="1">
      <c r="B38" s="184"/>
      <c r="C38" s="570">
        <f>'Likelihood worksheet'!J14</f>
        <v>0</v>
      </c>
      <c r="D38" s="571"/>
      <c r="E38" s="571"/>
      <c r="F38" s="571"/>
      <c r="G38" s="571"/>
      <c r="H38" s="571"/>
      <c r="I38" s="571"/>
      <c r="J38" s="571"/>
      <c r="K38" s="572"/>
    </row>
    <row r="39" spans="2:13" ht="24.75" customHeight="1">
      <c r="B39" s="183" t="s">
        <v>38</v>
      </c>
      <c r="C39" s="564" t="str">
        <f>'Likelihood worksheet'!I15</f>
        <v/>
      </c>
      <c r="D39" s="565"/>
      <c r="E39" s="565"/>
      <c r="F39" s="565"/>
      <c r="G39" s="565"/>
      <c r="H39" s="565"/>
      <c r="I39" s="565"/>
      <c r="J39" s="565"/>
      <c r="K39" s="566"/>
    </row>
    <row r="40" spans="2:13" ht="24.75" customHeight="1">
      <c r="B40" s="185"/>
      <c r="C40" s="567">
        <f>'Likelihood worksheet'!J15</f>
        <v>0</v>
      </c>
      <c r="D40" s="568"/>
      <c r="E40" s="568"/>
      <c r="F40" s="568"/>
      <c r="G40" s="568"/>
      <c r="H40" s="568"/>
      <c r="I40" s="568"/>
      <c r="J40" s="568"/>
      <c r="K40" s="569"/>
      <c r="M40" s="13"/>
    </row>
    <row r="41" spans="2:13" ht="24.75" customHeight="1">
      <c r="B41" s="183" t="s">
        <v>65</v>
      </c>
      <c r="C41" s="570" t="str">
        <f>'Likelihood worksheet'!I16</f>
        <v/>
      </c>
      <c r="D41" s="571"/>
      <c r="E41" s="571"/>
      <c r="F41" s="571"/>
      <c r="G41" s="571"/>
      <c r="H41" s="571"/>
      <c r="I41" s="571"/>
      <c r="J41" s="571"/>
      <c r="K41" s="572"/>
    </row>
    <row r="42" spans="2:13" ht="24.75" customHeight="1">
      <c r="B42" s="185"/>
      <c r="C42" s="567">
        <f>'Likelihood worksheet'!J16</f>
        <v>0</v>
      </c>
      <c r="D42" s="568"/>
      <c r="E42" s="568"/>
      <c r="F42" s="568"/>
      <c r="G42" s="568"/>
      <c r="H42" s="568"/>
      <c r="I42" s="568"/>
      <c r="J42" s="568"/>
      <c r="K42" s="569"/>
    </row>
    <row r="43" spans="2:13" ht="24.75" customHeight="1">
      <c r="B43" s="476" t="s">
        <v>352</v>
      </c>
      <c r="C43" s="564" t="str">
        <f>'Likelihood worksheet'!I17</f>
        <v/>
      </c>
      <c r="D43" s="565"/>
      <c r="E43" s="565"/>
      <c r="F43" s="565"/>
      <c r="G43" s="565"/>
      <c r="H43" s="565"/>
      <c r="I43" s="565"/>
      <c r="J43" s="565"/>
      <c r="K43" s="566"/>
    </row>
    <row r="44" spans="2:13" ht="24.75" customHeight="1">
      <c r="B44" s="184"/>
      <c r="C44" s="567">
        <f>'Likelihood worksheet'!J17</f>
        <v>0</v>
      </c>
      <c r="D44" s="568"/>
      <c r="E44" s="568"/>
      <c r="F44" s="568"/>
      <c r="G44" s="568"/>
      <c r="H44" s="568"/>
      <c r="I44" s="568"/>
      <c r="J44" s="568"/>
      <c r="K44" s="569"/>
    </row>
    <row r="45" spans="2:13" ht="24.75" customHeight="1">
      <c r="B45" s="476" t="s">
        <v>352</v>
      </c>
      <c r="C45" s="564" t="str">
        <f>'Likelihood worksheet'!I18</f>
        <v/>
      </c>
      <c r="D45" s="565"/>
      <c r="E45" s="565"/>
      <c r="F45" s="565"/>
      <c r="G45" s="565"/>
      <c r="H45" s="565"/>
      <c r="I45" s="565"/>
      <c r="J45" s="565"/>
      <c r="K45" s="566"/>
    </row>
    <row r="46" spans="2:13" ht="24.75" customHeight="1">
      <c r="B46" s="186"/>
      <c r="C46" s="567">
        <f>'Likelihood worksheet'!J18</f>
        <v>0</v>
      </c>
      <c r="D46" s="568"/>
      <c r="E46" s="568"/>
      <c r="F46" s="568"/>
      <c r="G46" s="568"/>
      <c r="H46" s="568"/>
      <c r="I46" s="568"/>
      <c r="J46" s="568"/>
      <c r="K46" s="569"/>
    </row>
    <row r="47" spans="2:13" ht="24.75" customHeight="1">
      <c r="B47" s="476" t="s">
        <v>352</v>
      </c>
      <c r="C47" s="564" t="str">
        <f>'Likelihood worksheet'!I19</f>
        <v/>
      </c>
      <c r="D47" s="565"/>
      <c r="E47" s="565"/>
      <c r="F47" s="565"/>
      <c r="G47" s="565"/>
      <c r="H47" s="565"/>
      <c r="I47" s="565"/>
      <c r="J47" s="565"/>
      <c r="K47" s="566"/>
    </row>
    <row r="48" spans="2:13" ht="24.75" customHeight="1">
      <c r="B48" s="184"/>
      <c r="C48" s="567">
        <f>'Likelihood worksheet'!J19</f>
        <v>0</v>
      </c>
      <c r="D48" s="568"/>
      <c r="E48" s="568"/>
      <c r="F48" s="568"/>
      <c r="G48" s="568"/>
      <c r="H48" s="568"/>
      <c r="I48" s="568"/>
      <c r="J48" s="568"/>
      <c r="K48" s="569"/>
    </row>
    <row r="49" spans="2:11" ht="24.75" customHeight="1">
      <c r="B49" s="183" t="s">
        <v>20</v>
      </c>
      <c r="C49" s="564" t="str">
        <f>'Likelihood worksheet'!I20</f>
        <v/>
      </c>
      <c r="D49" s="565"/>
      <c r="E49" s="565"/>
      <c r="F49" s="565"/>
      <c r="G49" s="565"/>
      <c r="H49" s="565"/>
      <c r="I49" s="565"/>
      <c r="J49" s="565"/>
      <c r="K49" s="566"/>
    </row>
    <row r="50" spans="2:11" ht="24.75" customHeight="1">
      <c r="B50" s="184"/>
      <c r="C50" s="570">
        <f>'Likelihood worksheet'!J20</f>
        <v>0</v>
      </c>
      <c r="D50" s="571"/>
      <c r="E50" s="571"/>
      <c r="F50" s="571"/>
      <c r="G50" s="571"/>
      <c r="H50" s="571"/>
      <c r="I50" s="571"/>
      <c r="J50" s="571"/>
      <c r="K50" s="572"/>
    </row>
    <row r="51" spans="2:11" ht="24.75" customHeight="1">
      <c r="B51" s="34" t="s">
        <v>69</v>
      </c>
      <c r="C51" s="586" t="str">
        <f>'Likelihood worksheet'!I21</f>
        <v/>
      </c>
      <c r="D51" s="573"/>
      <c r="E51" s="573"/>
      <c r="F51" s="573"/>
      <c r="G51" s="573"/>
      <c r="H51" s="573"/>
      <c r="I51" s="573"/>
      <c r="J51" s="573"/>
      <c r="K51" s="574"/>
    </row>
    <row r="52" spans="2:11" ht="24.75" customHeight="1">
      <c r="B52" s="35"/>
      <c r="C52" s="581">
        <f>'Likelihood worksheet'!J21</f>
        <v>0</v>
      </c>
      <c r="D52" s="582"/>
      <c r="E52" s="582"/>
      <c r="F52" s="582"/>
      <c r="G52" s="582"/>
      <c r="H52" s="582"/>
      <c r="I52" s="582"/>
      <c r="J52" s="582"/>
      <c r="K52" s="583"/>
    </row>
    <row r="53" spans="2:11" ht="41.4" customHeight="1">
      <c r="B53" s="476" t="s">
        <v>352</v>
      </c>
      <c r="C53" s="570" t="str">
        <f>'Likelihood worksheet'!I22</f>
        <v/>
      </c>
      <c r="D53" s="571"/>
      <c r="E53" s="571"/>
      <c r="F53" s="571"/>
      <c r="G53" s="571"/>
      <c r="H53" s="571"/>
      <c r="I53" s="571"/>
      <c r="J53" s="571"/>
      <c r="K53" s="572"/>
    </row>
    <row r="54" spans="2:11" ht="24.75" customHeight="1">
      <c r="B54" s="185"/>
      <c r="C54" s="567">
        <f>'Likelihood worksheet'!J22</f>
        <v>0</v>
      </c>
      <c r="D54" s="568"/>
      <c r="E54" s="568"/>
      <c r="F54" s="568"/>
      <c r="G54" s="568"/>
      <c r="H54" s="568"/>
      <c r="I54" s="568"/>
      <c r="J54" s="568"/>
      <c r="K54" s="569"/>
    </row>
    <row r="55" spans="2:11" ht="24.75" customHeight="1">
      <c r="B55" s="476" t="s">
        <v>352</v>
      </c>
      <c r="C55" s="564" t="str">
        <f>'Likelihood worksheet'!I23</f>
        <v/>
      </c>
      <c r="D55" s="565"/>
      <c r="E55" s="565"/>
      <c r="F55" s="565"/>
      <c r="G55" s="565"/>
      <c r="H55" s="565"/>
      <c r="I55" s="565"/>
      <c r="J55" s="565"/>
      <c r="K55" s="566"/>
    </row>
    <row r="56" spans="2:11" ht="31.5" customHeight="1">
      <c r="B56" s="184"/>
      <c r="C56" s="567">
        <f>'Likelihood worksheet'!J23</f>
        <v>0</v>
      </c>
      <c r="D56" s="568"/>
      <c r="E56" s="568"/>
      <c r="F56" s="568"/>
      <c r="G56" s="568"/>
      <c r="H56" s="568"/>
      <c r="I56" s="568"/>
      <c r="J56" s="568"/>
      <c r="K56" s="569"/>
    </row>
    <row r="57" spans="2:11" ht="30.75" customHeight="1">
      <c r="B57" s="476" t="s">
        <v>352</v>
      </c>
      <c r="C57" s="564" t="str">
        <f>'Likelihood worksheet'!I24</f>
        <v/>
      </c>
      <c r="D57" s="565"/>
      <c r="E57" s="565"/>
      <c r="F57" s="565"/>
      <c r="G57" s="565"/>
      <c r="H57" s="565"/>
      <c r="I57" s="565"/>
      <c r="J57" s="565"/>
      <c r="K57" s="566"/>
    </row>
    <row r="58" spans="2:11" ht="30.75" customHeight="1">
      <c r="B58" s="186"/>
      <c r="C58" s="567">
        <f>'Likelihood worksheet'!J24</f>
        <v>0</v>
      </c>
      <c r="D58" s="568"/>
      <c r="E58" s="568"/>
      <c r="F58" s="568"/>
      <c r="G58" s="568"/>
      <c r="H58" s="568"/>
      <c r="I58" s="568"/>
      <c r="J58" s="568"/>
      <c r="K58" s="569"/>
    </row>
    <row r="59" spans="2:11" ht="30.75" customHeight="1">
      <c r="B59" s="476" t="s">
        <v>352</v>
      </c>
      <c r="C59" s="564" t="str">
        <f>'Likelihood worksheet'!I25</f>
        <v/>
      </c>
      <c r="D59" s="565"/>
      <c r="E59" s="565"/>
      <c r="F59" s="565"/>
      <c r="G59" s="565"/>
      <c r="H59" s="565"/>
      <c r="I59" s="565"/>
      <c r="J59" s="565"/>
      <c r="K59" s="566"/>
    </row>
    <row r="60" spans="2:11" ht="30.75" customHeight="1">
      <c r="B60" s="184"/>
      <c r="C60" s="567">
        <f>'Likelihood worksheet'!J25</f>
        <v>0</v>
      </c>
      <c r="D60" s="568"/>
      <c r="E60" s="568"/>
      <c r="F60" s="568"/>
      <c r="G60" s="568"/>
      <c r="H60" s="568"/>
      <c r="I60" s="568"/>
      <c r="J60" s="568"/>
      <c r="K60" s="569"/>
    </row>
    <row r="61" spans="2:11" ht="30.75" customHeight="1">
      <c r="B61" s="476" t="s">
        <v>352</v>
      </c>
      <c r="C61" s="564" t="str">
        <f>'Likelihood worksheet'!I26</f>
        <v/>
      </c>
      <c r="D61" s="565"/>
      <c r="E61" s="565"/>
      <c r="F61" s="565"/>
      <c r="G61" s="565"/>
      <c r="H61" s="565"/>
      <c r="I61" s="565"/>
      <c r="J61" s="565"/>
      <c r="K61" s="566"/>
    </row>
    <row r="62" spans="2:11" ht="30.75" customHeight="1">
      <c r="B62" s="186"/>
      <c r="C62" s="570">
        <f>'Likelihood worksheet'!J26</f>
        <v>0</v>
      </c>
      <c r="D62" s="571"/>
      <c r="E62" s="571"/>
      <c r="F62" s="571"/>
      <c r="G62" s="571"/>
      <c r="H62" s="571"/>
      <c r="I62" s="571"/>
      <c r="J62" s="571"/>
      <c r="K62" s="572"/>
    </row>
    <row r="63" spans="2:11" ht="41.4" customHeight="1">
      <c r="B63" s="476" t="s">
        <v>352</v>
      </c>
      <c r="C63" s="564" t="str">
        <f>'Likelihood worksheet'!I27</f>
        <v/>
      </c>
      <c r="D63" s="565"/>
      <c r="E63" s="565"/>
      <c r="F63" s="565"/>
      <c r="G63" s="565"/>
      <c r="H63" s="565"/>
      <c r="I63" s="565"/>
      <c r="J63" s="565"/>
      <c r="K63" s="566"/>
    </row>
    <row r="64" spans="2:11" ht="30.75" customHeight="1">
      <c r="B64" s="186"/>
      <c r="C64" s="567">
        <f>'Likelihood worksheet'!J27</f>
        <v>0</v>
      </c>
      <c r="D64" s="568"/>
      <c r="E64" s="568"/>
      <c r="F64" s="568"/>
      <c r="G64" s="568"/>
      <c r="H64" s="568"/>
      <c r="I64" s="568"/>
      <c r="J64" s="568"/>
      <c r="K64" s="569"/>
    </row>
    <row r="65" spans="2:11" ht="46.95" customHeight="1">
      <c r="B65" s="476" t="s">
        <v>352</v>
      </c>
      <c r="C65" s="564" t="str">
        <f>'Likelihood worksheet'!I28</f>
        <v/>
      </c>
      <c r="D65" s="565"/>
      <c r="E65" s="565"/>
      <c r="F65" s="565"/>
      <c r="G65" s="565"/>
      <c r="H65" s="565"/>
      <c r="I65" s="565"/>
      <c r="J65" s="565"/>
      <c r="K65" s="566"/>
    </row>
    <row r="66" spans="2:11" ht="30.75" customHeight="1">
      <c r="B66" s="444"/>
      <c r="C66" s="567">
        <f>'Likelihood worksheet'!J28</f>
        <v>0</v>
      </c>
      <c r="D66" s="568"/>
      <c r="E66" s="568"/>
      <c r="F66" s="568"/>
      <c r="G66" s="568"/>
      <c r="H66" s="568"/>
      <c r="I66" s="568"/>
      <c r="J66" s="568"/>
      <c r="K66" s="569"/>
    </row>
    <row r="67" spans="2:11" ht="53.4" customHeight="1">
      <c r="B67" s="476" t="s">
        <v>352</v>
      </c>
      <c r="C67" s="564" t="str">
        <f>'Likelihood worksheet'!I29</f>
        <v/>
      </c>
      <c r="D67" s="565"/>
      <c r="E67" s="565"/>
      <c r="F67" s="565"/>
      <c r="G67" s="565"/>
      <c r="H67" s="565"/>
      <c r="I67" s="565"/>
      <c r="J67" s="565"/>
      <c r="K67" s="566"/>
    </row>
    <row r="68" spans="2:11" ht="30.6" customHeight="1">
      <c r="B68" s="187"/>
      <c r="C68" s="567">
        <f>'Likelihood worksheet'!J29</f>
        <v>0</v>
      </c>
      <c r="D68" s="568"/>
      <c r="E68" s="568"/>
      <c r="F68" s="568"/>
      <c r="G68" s="568"/>
      <c r="H68" s="568"/>
      <c r="I68" s="568"/>
      <c r="J68" s="568"/>
      <c r="K68" s="569"/>
    </row>
    <row r="69" spans="2:11" ht="30.75" customHeight="1">
      <c r="B69" s="183" t="s">
        <v>68</v>
      </c>
      <c r="C69" s="564" t="str">
        <f>'Likelihood worksheet'!I30</f>
        <v/>
      </c>
      <c r="D69" s="565"/>
      <c r="E69" s="565"/>
      <c r="F69" s="565"/>
      <c r="G69" s="565"/>
      <c r="H69" s="565"/>
      <c r="I69" s="565"/>
      <c r="J69" s="565"/>
      <c r="K69" s="566"/>
    </row>
    <row r="70" spans="2:11" ht="30.75" customHeight="1">
      <c r="B70" s="185"/>
      <c r="C70" s="570">
        <f>'Likelihood worksheet'!J30</f>
        <v>0</v>
      </c>
      <c r="D70" s="571"/>
      <c r="E70" s="571"/>
      <c r="F70" s="571"/>
      <c r="G70" s="571"/>
      <c r="H70" s="571"/>
      <c r="I70" s="571"/>
      <c r="J70" s="571"/>
      <c r="K70" s="572"/>
    </row>
    <row r="71" spans="2:11" ht="30.75" customHeight="1">
      <c r="B71" s="476" t="s">
        <v>352</v>
      </c>
      <c r="C71" s="564" t="str">
        <f>'Likelihood worksheet'!I31</f>
        <v/>
      </c>
      <c r="D71" s="565"/>
      <c r="E71" s="565"/>
      <c r="F71" s="565"/>
      <c r="G71" s="565"/>
      <c r="H71" s="565"/>
      <c r="I71" s="565"/>
      <c r="J71" s="565"/>
      <c r="K71" s="566"/>
    </row>
    <row r="72" spans="2:11" ht="30.75" customHeight="1">
      <c r="B72" s="184"/>
      <c r="C72" s="567">
        <f>'Likelihood worksheet'!J31</f>
        <v>0</v>
      </c>
      <c r="D72" s="568"/>
      <c r="E72" s="568"/>
      <c r="F72" s="568"/>
      <c r="G72" s="568"/>
      <c r="H72" s="568"/>
      <c r="I72" s="568"/>
      <c r="J72" s="568"/>
      <c r="K72" s="569"/>
    </row>
    <row r="73" spans="2:11" ht="30.75" customHeight="1">
      <c r="B73" s="476" t="s">
        <v>352</v>
      </c>
      <c r="C73" s="564" t="str">
        <f>'Likelihood worksheet'!I32</f>
        <v/>
      </c>
      <c r="D73" s="565"/>
      <c r="E73" s="565"/>
      <c r="F73" s="565"/>
      <c r="G73" s="565"/>
      <c r="H73" s="565"/>
      <c r="I73" s="565"/>
      <c r="J73" s="565"/>
      <c r="K73" s="566"/>
    </row>
    <row r="74" spans="2:11" ht="30.75" customHeight="1">
      <c r="B74" s="186"/>
      <c r="C74" s="567">
        <f>'Likelihood worksheet'!J32</f>
        <v>0</v>
      </c>
      <c r="D74" s="568"/>
      <c r="E74" s="568"/>
      <c r="F74" s="568"/>
      <c r="G74" s="568"/>
      <c r="H74" s="568"/>
      <c r="I74" s="568"/>
      <c r="J74" s="568"/>
      <c r="K74" s="569"/>
    </row>
    <row r="75" spans="2:11" ht="30.75" customHeight="1">
      <c r="B75" s="476" t="s">
        <v>352</v>
      </c>
      <c r="C75" s="564" t="str">
        <f>'Likelihood worksheet'!I33</f>
        <v/>
      </c>
      <c r="D75" s="565"/>
      <c r="E75" s="565"/>
      <c r="F75" s="565"/>
      <c r="G75" s="565"/>
      <c r="H75" s="565"/>
      <c r="I75" s="565"/>
      <c r="J75" s="565"/>
      <c r="K75" s="566"/>
    </row>
    <row r="76" spans="2:11" ht="30.75" customHeight="1">
      <c r="B76" s="185"/>
      <c r="C76" s="567">
        <f>'Likelihood worksheet'!J33</f>
        <v>0</v>
      </c>
      <c r="D76" s="568"/>
      <c r="E76" s="568"/>
      <c r="F76" s="568"/>
      <c r="G76" s="568"/>
      <c r="H76" s="568"/>
      <c r="I76" s="568"/>
      <c r="J76" s="568"/>
      <c r="K76" s="569"/>
    </row>
    <row r="77" spans="2:11" ht="30.75" customHeight="1">
      <c r="B77" s="34" t="s">
        <v>316</v>
      </c>
      <c r="C77" s="565" t="str">
        <f>'Likelihood worksheet'!I34</f>
        <v/>
      </c>
      <c r="D77" s="565"/>
      <c r="E77" s="565"/>
      <c r="F77" s="565"/>
      <c r="G77" s="565"/>
      <c r="H77" s="565"/>
      <c r="I77" s="565"/>
      <c r="J77" s="565"/>
      <c r="K77" s="566"/>
    </row>
    <row r="78" spans="2:11" ht="30.75" customHeight="1">
      <c r="B78" s="35"/>
      <c r="C78" s="568">
        <f>'Likelihood worksheet'!J34</f>
        <v>0</v>
      </c>
      <c r="D78" s="568"/>
      <c r="E78" s="568"/>
      <c r="F78" s="568"/>
      <c r="G78" s="568"/>
      <c r="H78" s="568"/>
      <c r="I78" s="568"/>
      <c r="J78" s="568"/>
      <c r="K78" s="569"/>
    </row>
    <row r="79" spans="2:11" ht="30.75" customHeight="1">
      <c r="B79" s="477" t="s">
        <v>352</v>
      </c>
      <c r="C79" s="565" t="str">
        <f>'Likelihood worksheet'!I35</f>
        <v/>
      </c>
      <c r="D79" s="565"/>
      <c r="E79" s="565"/>
      <c r="F79" s="565"/>
      <c r="G79" s="565"/>
      <c r="H79" s="565"/>
      <c r="I79" s="565"/>
      <c r="J79" s="565"/>
      <c r="K79" s="566"/>
    </row>
    <row r="80" spans="2:11" ht="30.75" customHeight="1">
      <c r="B80" s="35"/>
      <c r="C80" s="568">
        <f>'Likelihood worksheet'!J35</f>
        <v>0</v>
      </c>
      <c r="D80" s="568"/>
      <c r="E80" s="568"/>
      <c r="F80" s="568"/>
      <c r="G80" s="568"/>
      <c r="H80" s="568"/>
      <c r="I80" s="568"/>
      <c r="J80" s="568"/>
      <c r="K80" s="569"/>
    </row>
    <row r="81" spans="2:11" ht="30.6" customHeight="1">
      <c r="B81" s="578" t="s">
        <v>352</v>
      </c>
      <c r="C81" s="564" t="str">
        <f>'Likelihood worksheet'!I36</f>
        <v/>
      </c>
      <c r="D81" s="565"/>
      <c r="E81" s="565"/>
      <c r="F81" s="565"/>
      <c r="G81" s="565"/>
      <c r="H81" s="565"/>
      <c r="I81" s="565"/>
      <c r="J81" s="565"/>
      <c r="K81" s="566"/>
    </row>
    <row r="82" spans="2:11" ht="42.6" customHeight="1">
      <c r="B82" s="579"/>
      <c r="C82" s="567">
        <f>'Likelihood worksheet'!J36</f>
        <v>0</v>
      </c>
      <c r="D82" s="568"/>
      <c r="E82" s="568"/>
      <c r="F82" s="568"/>
      <c r="G82" s="568"/>
      <c r="H82" s="568"/>
      <c r="I82" s="568"/>
      <c r="J82" s="568"/>
      <c r="K82" s="569"/>
    </row>
    <row r="83" spans="2:11" ht="30.6" customHeight="1">
      <c r="B83" s="580" t="s">
        <v>352</v>
      </c>
      <c r="C83" s="564" t="str">
        <f>'Likelihood worksheet'!I37</f>
        <v/>
      </c>
      <c r="D83" s="565"/>
      <c r="E83" s="565"/>
      <c r="F83" s="565"/>
      <c r="G83" s="565"/>
      <c r="H83" s="565"/>
      <c r="I83" s="565"/>
      <c r="J83" s="565"/>
      <c r="K83" s="566"/>
    </row>
    <row r="84" spans="2:11" ht="39.6" customHeight="1">
      <c r="B84" s="579"/>
      <c r="C84" s="567">
        <f>'Likelihood worksheet'!J37</f>
        <v>0</v>
      </c>
      <c r="D84" s="568"/>
      <c r="E84" s="568"/>
      <c r="F84" s="568"/>
      <c r="G84" s="568"/>
      <c r="H84" s="568"/>
      <c r="I84" s="568"/>
      <c r="J84" s="568"/>
      <c r="K84" s="569"/>
    </row>
    <row r="85" spans="2:11" ht="30.75" customHeight="1">
      <c r="B85" s="183" t="s">
        <v>104</v>
      </c>
      <c r="C85" s="564" t="str">
        <f>'Likelihood worksheet'!$H$45</f>
        <v>Very unlikely to be affected</v>
      </c>
      <c r="D85" s="565"/>
      <c r="E85" s="565"/>
      <c r="F85" s="565"/>
      <c r="G85" s="565"/>
      <c r="H85" s="565"/>
      <c r="I85" s="565"/>
      <c r="J85" s="565"/>
      <c r="K85" s="566"/>
    </row>
    <row r="86" spans="2:11" ht="30.75" customHeight="1">
      <c r="B86" s="184"/>
      <c r="C86" s="567" t="str">
        <f>IF('Likelihood worksheet'!J44="Type your comments about food fraud affecting this material here","",'Likelihood worksheet'!J44)</f>
        <v/>
      </c>
      <c r="D86" s="568"/>
      <c r="E86" s="568"/>
      <c r="F86" s="568"/>
      <c r="G86" s="568"/>
      <c r="H86" s="568"/>
      <c r="I86" s="568"/>
      <c r="J86" s="568"/>
      <c r="K86" s="569"/>
    </row>
    <row r="87" spans="2:11" ht="12" customHeight="1">
      <c r="B87" s="65"/>
      <c r="C87" s="79"/>
      <c r="D87" s="79"/>
      <c r="E87" s="79"/>
      <c r="F87" s="79"/>
      <c r="G87" s="79"/>
      <c r="H87" s="79"/>
      <c r="I87" s="79"/>
      <c r="J87" s="79"/>
      <c r="K87" s="79"/>
    </row>
    <row r="88" spans="2:11" ht="12.6" customHeight="1"/>
    <row r="89" spans="2:11" ht="36.6" customHeight="1">
      <c r="B89" s="575" t="s">
        <v>192</v>
      </c>
      <c r="C89" s="576"/>
      <c r="D89" s="576"/>
      <c r="E89" s="576"/>
      <c r="F89" s="576"/>
      <c r="G89" s="576"/>
      <c r="H89" s="576"/>
      <c r="I89" s="576"/>
      <c r="J89" s="576"/>
      <c r="K89" s="577"/>
    </row>
    <row r="90" spans="2:11" ht="25.5" customHeight="1">
      <c r="B90" s="37" t="s">
        <v>87</v>
      </c>
      <c r="C90" s="573" t="str">
        <f>'Consequences worksheet'!I10</f>
        <v/>
      </c>
      <c r="D90" s="573"/>
      <c r="E90" s="573"/>
      <c r="F90" s="573"/>
      <c r="G90" s="573"/>
      <c r="H90" s="573"/>
      <c r="I90" s="573"/>
      <c r="J90" s="573"/>
      <c r="K90" s="574"/>
    </row>
    <row r="91" spans="2:11" ht="25.5" customHeight="1">
      <c r="B91" s="138"/>
      <c r="C91" s="537" t="str">
        <f>IF('Consequences worksheet'!J10="","",'Consequences worksheet'!J10)</f>
        <v/>
      </c>
      <c r="D91" s="537"/>
      <c r="E91" s="537"/>
      <c r="F91" s="537"/>
      <c r="G91" s="537"/>
      <c r="H91" s="537"/>
      <c r="I91" s="537"/>
      <c r="J91" s="537"/>
      <c r="K91" s="538"/>
    </row>
    <row r="92" spans="2:11" ht="25.5" customHeight="1">
      <c r="B92" s="478" t="s">
        <v>352</v>
      </c>
      <c r="C92" s="573" t="str">
        <f>'Consequences worksheet'!I11</f>
        <v/>
      </c>
      <c r="D92" s="573"/>
      <c r="E92" s="573"/>
      <c r="F92" s="573"/>
      <c r="G92" s="573"/>
      <c r="H92" s="573"/>
      <c r="I92" s="573"/>
      <c r="J92" s="573"/>
      <c r="K92" s="574"/>
    </row>
    <row r="93" spans="2:11" ht="25.5" customHeight="1">
      <c r="B93" s="138"/>
      <c r="C93" s="537" t="str">
        <f>IF('Consequences worksheet'!J11="","",'Consequences worksheet'!J11)</f>
        <v/>
      </c>
      <c r="D93" s="537"/>
      <c r="E93" s="537"/>
      <c r="F93" s="537"/>
      <c r="G93" s="537"/>
      <c r="H93" s="537"/>
      <c r="I93" s="537"/>
      <c r="J93" s="537"/>
      <c r="K93" s="538"/>
    </row>
    <row r="94" spans="2:11" ht="25.5" customHeight="1">
      <c r="B94" s="37" t="s">
        <v>84</v>
      </c>
      <c r="C94" s="573" t="str">
        <f>'Consequences worksheet'!I12</f>
        <v/>
      </c>
      <c r="D94" s="573"/>
      <c r="E94" s="573"/>
      <c r="F94" s="573"/>
      <c r="G94" s="573"/>
      <c r="H94" s="573"/>
      <c r="I94" s="573"/>
      <c r="J94" s="573"/>
      <c r="K94" s="574"/>
    </row>
    <row r="95" spans="2:11" ht="25.5" customHeight="1">
      <c r="B95" s="138"/>
      <c r="C95" s="537" t="str">
        <f>IF('Consequences worksheet'!J12="","",'Consequences worksheet'!J12)</f>
        <v/>
      </c>
      <c r="D95" s="537"/>
      <c r="E95" s="537"/>
      <c r="F95" s="537"/>
      <c r="G95" s="537"/>
      <c r="H95" s="537"/>
      <c r="I95" s="537"/>
      <c r="J95" s="537"/>
      <c r="K95" s="538"/>
    </row>
    <row r="96" spans="2:11" ht="25.5" customHeight="1">
      <c r="B96" s="478" t="s">
        <v>352</v>
      </c>
      <c r="C96" s="573" t="str">
        <f>'Consequences worksheet'!I13</f>
        <v/>
      </c>
      <c r="D96" s="573"/>
      <c r="E96" s="573"/>
      <c r="F96" s="573"/>
      <c r="G96" s="573"/>
      <c r="H96" s="573"/>
      <c r="I96" s="573"/>
      <c r="J96" s="573"/>
      <c r="K96" s="574"/>
    </row>
    <row r="97" spans="2:11" ht="25.5" customHeight="1">
      <c r="B97" s="138"/>
      <c r="C97" s="537" t="str">
        <f>IF('Consequences worksheet'!J13="","",'Consequences worksheet'!J13)</f>
        <v/>
      </c>
      <c r="D97" s="537"/>
      <c r="E97" s="537"/>
      <c r="F97" s="537"/>
      <c r="G97" s="537"/>
      <c r="H97" s="537"/>
      <c r="I97" s="537"/>
      <c r="J97" s="537"/>
      <c r="K97" s="538"/>
    </row>
    <row r="98" spans="2:11" ht="25.5" customHeight="1">
      <c r="B98" s="478" t="s">
        <v>352</v>
      </c>
      <c r="C98" s="573" t="str">
        <f>IF('Consequences worksheet'!I14="","",'Consequences worksheet'!I14)</f>
        <v/>
      </c>
      <c r="D98" s="573"/>
      <c r="E98" s="573"/>
      <c r="F98" s="573"/>
      <c r="G98" s="573"/>
      <c r="H98" s="573"/>
      <c r="I98" s="573"/>
      <c r="J98" s="573"/>
      <c r="K98" s="574"/>
    </row>
    <row r="99" spans="2:11" ht="25.5" customHeight="1">
      <c r="B99" s="138"/>
      <c r="C99" s="537" t="str">
        <f>IF('Consequences worksheet'!J14="","",'Consequences worksheet'!J14)</f>
        <v/>
      </c>
      <c r="D99" s="537"/>
      <c r="E99" s="537"/>
      <c r="F99" s="537"/>
      <c r="G99" s="537"/>
      <c r="H99" s="537"/>
      <c r="I99" s="537"/>
      <c r="J99" s="537"/>
      <c r="K99" s="538"/>
    </row>
    <row r="100" spans="2:11" ht="25.5" customHeight="1">
      <c r="B100" s="37" t="s">
        <v>77</v>
      </c>
      <c r="C100" s="573" t="str">
        <f>'Consequences worksheet'!I15</f>
        <v/>
      </c>
      <c r="D100" s="573"/>
      <c r="E100" s="573"/>
      <c r="F100" s="573"/>
      <c r="G100" s="573"/>
      <c r="H100" s="573"/>
      <c r="I100" s="573"/>
      <c r="J100" s="573"/>
      <c r="K100" s="574"/>
    </row>
    <row r="101" spans="2:11" ht="25.5" customHeight="1">
      <c r="B101" s="138"/>
      <c r="C101" s="537" t="str">
        <f>IF('Consequences worksheet'!J15="","",'Consequences worksheet'!J15)</f>
        <v/>
      </c>
      <c r="D101" s="537"/>
      <c r="E101" s="537"/>
      <c r="F101" s="537"/>
      <c r="G101" s="537"/>
      <c r="H101" s="537"/>
      <c r="I101" s="537"/>
      <c r="J101" s="537"/>
      <c r="K101" s="538"/>
    </row>
    <row r="102" spans="2:11" ht="25.5" customHeight="1">
      <c r="B102" s="478" t="s">
        <v>352</v>
      </c>
      <c r="C102" s="573" t="str">
        <f>'Consequences worksheet'!I16</f>
        <v/>
      </c>
      <c r="D102" s="573"/>
      <c r="E102" s="573"/>
      <c r="F102" s="573"/>
      <c r="G102" s="573"/>
      <c r="H102" s="573"/>
      <c r="I102" s="573"/>
      <c r="J102" s="573"/>
      <c r="K102" s="574"/>
    </row>
    <row r="103" spans="2:11" ht="25.5" customHeight="1">
      <c r="B103" s="138"/>
      <c r="C103" s="537" t="str">
        <f>IF('Consequences worksheet'!J16="","",'Consequences worksheet'!J16)</f>
        <v/>
      </c>
      <c r="D103" s="537"/>
      <c r="E103" s="537"/>
      <c r="F103" s="537"/>
      <c r="G103" s="537"/>
      <c r="H103" s="537"/>
      <c r="I103" s="537"/>
      <c r="J103" s="537"/>
      <c r="K103" s="538"/>
    </row>
    <row r="104" spans="2:11" ht="25.5" customHeight="1">
      <c r="B104" s="478" t="s">
        <v>352</v>
      </c>
      <c r="C104" s="573" t="str">
        <f>'Consequences worksheet'!I17</f>
        <v/>
      </c>
      <c r="D104" s="573"/>
      <c r="E104" s="573"/>
      <c r="F104" s="573"/>
      <c r="G104" s="573"/>
      <c r="H104" s="573"/>
      <c r="I104" s="573"/>
      <c r="J104" s="573"/>
      <c r="K104" s="574"/>
    </row>
    <row r="105" spans="2:11" ht="25.5" customHeight="1">
      <c r="B105" s="138"/>
      <c r="C105" s="537" t="str">
        <f>IF('Consequences worksheet'!J17="","",'Consequences worksheet'!J17)</f>
        <v/>
      </c>
      <c r="D105" s="537"/>
      <c r="E105" s="537"/>
      <c r="F105" s="537"/>
      <c r="G105" s="537"/>
      <c r="H105" s="537"/>
      <c r="I105" s="537"/>
      <c r="J105" s="537"/>
      <c r="K105" s="538"/>
    </row>
    <row r="106" spans="2:11" ht="25.5" customHeight="1">
      <c r="B106" s="478" t="s">
        <v>352</v>
      </c>
      <c r="C106" s="573" t="str">
        <f>'Consequences worksheet'!I18</f>
        <v/>
      </c>
      <c r="D106" s="573"/>
      <c r="E106" s="573"/>
      <c r="F106" s="573"/>
      <c r="G106" s="573"/>
      <c r="H106" s="573"/>
      <c r="I106" s="573"/>
      <c r="J106" s="573"/>
      <c r="K106" s="574"/>
    </row>
    <row r="107" spans="2:11" ht="25.5" customHeight="1">
      <c r="B107" s="138"/>
      <c r="C107" s="537" t="str">
        <f>IF('Consequences worksheet'!J18="","",'Consequences worksheet'!J18)</f>
        <v/>
      </c>
      <c r="D107" s="537"/>
      <c r="E107" s="537"/>
      <c r="F107" s="537"/>
      <c r="G107" s="537"/>
      <c r="H107" s="537"/>
      <c r="I107" s="537"/>
      <c r="J107" s="537"/>
      <c r="K107" s="538"/>
    </row>
    <row r="108" spans="2:11" ht="25.5" customHeight="1">
      <c r="B108" s="478" t="s">
        <v>352</v>
      </c>
      <c r="C108" s="573" t="str">
        <f>'Consequences worksheet'!I19</f>
        <v/>
      </c>
      <c r="D108" s="573"/>
      <c r="E108" s="573"/>
      <c r="F108" s="573"/>
      <c r="G108" s="573"/>
      <c r="H108" s="573"/>
      <c r="I108" s="573"/>
      <c r="J108" s="573"/>
      <c r="K108" s="574"/>
    </row>
    <row r="109" spans="2:11" ht="25.5" customHeight="1">
      <c r="B109" s="138"/>
      <c r="C109" s="537" t="str">
        <f>IF('Consequences worksheet'!J19="","",'Consequences worksheet'!J19)</f>
        <v/>
      </c>
      <c r="D109" s="537"/>
      <c r="E109" s="537"/>
      <c r="F109" s="537"/>
      <c r="G109" s="537"/>
      <c r="H109" s="537"/>
      <c r="I109" s="537"/>
      <c r="J109" s="537"/>
      <c r="K109" s="538"/>
    </row>
    <row r="110" spans="2:11" ht="25.5" customHeight="1">
      <c r="B110" s="37" t="s">
        <v>0</v>
      </c>
      <c r="C110" s="573" t="str">
        <f>'Consequences worksheet'!I20</f>
        <v/>
      </c>
      <c r="D110" s="573"/>
      <c r="E110" s="573"/>
      <c r="F110" s="573"/>
      <c r="G110" s="573"/>
      <c r="H110" s="573"/>
      <c r="I110" s="573"/>
      <c r="J110" s="573"/>
      <c r="K110" s="574"/>
    </row>
    <row r="111" spans="2:11" ht="25.5" customHeight="1">
      <c r="B111" s="138"/>
      <c r="C111" s="537" t="str">
        <f>IF('Consequences worksheet'!J20="","",'Consequences worksheet'!J20)</f>
        <v/>
      </c>
      <c r="D111" s="537"/>
      <c r="E111" s="537"/>
      <c r="F111" s="537"/>
      <c r="G111" s="537"/>
      <c r="H111" s="537"/>
      <c r="I111" s="537"/>
      <c r="J111" s="537"/>
      <c r="K111" s="538"/>
    </row>
    <row r="112" spans="2:11" ht="25.5" customHeight="1">
      <c r="B112" s="37" t="s">
        <v>93</v>
      </c>
      <c r="C112" s="573" t="str">
        <f>'Consequences worksheet'!I21</f>
        <v/>
      </c>
      <c r="D112" s="573"/>
      <c r="E112" s="573"/>
      <c r="F112" s="573"/>
      <c r="G112" s="573"/>
      <c r="H112" s="573"/>
      <c r="I112" s="573"/>
      <c r="J112" s="573"/>
      <c r="K112" s="574"/>
    </row>
    <row r="113" spans="2:11" ht="25.5" customHeight="1">
      <c r="B113" s="138"/>
      <c r="C113" s="537" t="str">
        <f>IF('Consequences worksheet'!J21="","",'Consequences worksheet'!J21)</f>
        <v/>
      </c>
      <c r="D113" s="537"/>
      <c r="E113" s="537"/>
      <c r="F113" s="537"/>
      <c r="G113" s="537"/>
      <c r="H113" s="537"/>
      <c r="I113" s="537"/>
      <c r="J113" s="537"/>
      <c r="K113" s="538"/>
    </row>
    <row r="114" spans="2:11" ht="30.6" customHeight="1">
      <c r="B114" s="37" t="s">
        <v>159</v>
      </c>
      <c r="C114" s="561" t="str">
        <f>'Consequences worksheet'!G24</f>
        <v>Negligible consequences</v>
      </c>
      <c r="D114" s="561"/>
      <c r="E114" s="561"/>
      <c r="F114" s="561"/>
      <c r="G114" s="561"/>
      <c r="H114" s="561"/>
      <c r="I114" s="561"/>
      <c r="J114" s="561"/>
      <c r="K114" s="562"/>
    </row>
    <row r="115" spans="2:11" ht="30.6" customHeight="1">
      <c r="B115" s="38"/>
      <c r="C115" s="563" t="str">
        <f>IF('Consequences worksheet'!J23="Type your comments about the consequences if food fraud was to affect this material here","",'Consequences worksheet'!J23)</f>
        <v/>
      </c>
      <c r="D115" s="537"/>
      <c r="E115" s="537"/>
      <c r="F115" s="537"/>
      <c r="G115" s="537"/>
      <c r="H115" s="537"/>
      <c r="I115" s="537"/>
      <c r="J115" s="537"/>
      <c r="K115" s="538"/>
    </row>
    <row r="116" spans="2:11" ht="12.75" customHeight="1"/>
    <row r="117" spans="2:11" ht="12.75" customHeight="1"/>
    <row r="118" spans="2:11" ht="12.75" customHeight="1"/>
    <row r="119" spans="2:11" ht="12.75" customHeight="1"/>
    <row r="120" spans="2:11" ht="12.75" customHeight="1"/>
    <row r="121" spans="2:11" ht="12.75" customHeight="1"/>
    <row r="122" spans="2:11" ht="12.75" customHeight="1"/>
    <row r="123" spans="2:11" ht="12.75" customHeight="1"/>
    <row r="124" spans="2:11" ht="12.75" customHeight="1"/>
    <row r="125" spans="2:11" ht="12.75" customHeight="1"/>
    <row r="126" spans="2:11" ht="12.75" customHeight="1"/>
    <row r="127" spans="2:11" ht="12.75" customHeight="1"/>
    <row r="128" spans="2:11"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8" customHeight="1"/>
    <row r="170" ht="12.75" customHeight="1"/>
    <row r="171" ht="27" customHeight="1"/>
    <row r="172" ht="50.2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3.2"/>
    <row r="275" ht="13.2"/>
    <row r="276" ht="13.2"/>
    <row r="277" ht="13.2"/>
    <row r="278" ht="13.2"/>
    <row r="279" ht="13.2"/>
    <row r="280" ht="13.2"/>
    <row r="281" ht="13.2"/>
    <row r="282" ht="13.2"/>
    <row r="283" ht="13.2"/>
    <row r="284" ht="13.2"/>
    <row r="285" ht="13.2"/>
    <row r="286" ht="13.2"/>
    <row r="287" ht="13.2"/>
    <row r="288" ht="13.2"/>
    <row r="289" ht="13.2"/>
    <row r="290" ht="13.2"/>
    <row r="291" ht="13.2"/>
    <row r="292" ht="13.2"/>
    <row r="293" ht="13.2"/>
    <row r="294" ht="13.2"/>
    <row r="295" ht="13.2"/>
    <row r="296" ht="13.2"/>
    <row r="297" ht="13.2"/>
    <row r="298" ht="13.2"/>
    <row r="299" ht="13.2"/>
    <row r="300" ht="13.2"/>
    <row r="301" ht="13.2"/>
    <row r="302" ht="13.2"/>
    <row r="303" ht="13.2"/>
    <row r="304" ht="13.2"/>
    <row r="305" ht="13.2"/>
    <row r="306" ht="13.2"/>
    <row r="307" ht="13.2"/>
    <row r="308" ht="13.2"/>
    <row r="309" ht="13.2"/>
    <row r="310" ht="13.2"/>
    <row r="311" ht="13.2"/>
    <row r="312" ht="13.2"/>
    <row r="313" ht="13.2"/>
    <row r="314" ht="13.2"/>
    <row r="315" ht="13.2"/>
    <row r="316" ht="13.2"/>
    <row r="317" ht="13.2"/>
    <row r="318" ht="13.2"/>
    <row r="319" ht="13.2"/>
    <row r="320" ht="13.2"/>
    <row r="321" ht="13.2"/>
    <row r="322" ht="13.2"/>
    <row r="323" ht="13.2"/>
    <row r="324" ht="13.2"/>
    <row r="325" ht="13.2"/>
    <row r="326" ht="13.2"/>
    <row r="327" ht="13.2"/>
    <row r="328" ht="13.2"/>
    <row r="329" ht="13.2"/>
    <row r="330" ht="13.2"/>
    <row r="331" ht="13.2"/>
    <row r="332" ht="13.2"/>
    <row r="333" ht="13.2"/>
    <row r="334" ht="13.2"/>
    <row r="335" ht="13.2"/>
    <row r="336" ht="13.2"/>
    <row r="337" ht="13.2"/>
    <row r="338" ht="13.2"/>
    <row r="339" ht="13.2"/>
    <row r="340" ht="13.2"/>
    <row r="341" ht="13.2"/>
    <row r="342" ht="13.2"/>
    <row r="343" ht="13.2"/>
    <row r="344" ht="13.2"/>
    <row r="345" ht="13.2"/>
    <row r="346" ht="13.2"/>
    <row r="347" ht="13.2"/>
    <row r="348" ht="13.2"/>
    <row r="349" ht="13.2"/>
    <row r="350" ht="13.2"/>
    <row r="351" ht="13.2"/>
    <row r="352" ht="13.2"/>
    <row r="353" ht="13.2"/>
    <row r="354" ht="13.2"/>
    <row r="355" ht="13.2"/>
    <row r="356" ht="13.2"/>
    <row r="357" ht="13.2"/>
    <row r="358" ht="13.2"/>
    <row r="359" ht="13.2"/>
    <row r="360" ht="13.2"/>
    <row r="361" ht="13.2"/>
    <row r="362" ht="13.2"/>
    <row r="363" ht="13.2"/>
    <row r="364" ht="13.2"/>
    <row r="365" ht="13.2"/>
    <row r="366" ht="13.2"/>
    <row r="367" ht="13.2"/>
    <row r="368" ht="13.2"/>
    <row r="369" ht="13.2"/>
    <row r="370" ht="13.2"/>
    <row r="371" ht="13.2"/>
    <row r="372" ht="13.2"/>
    <row r="373" ht="13.2"/>
    <row r="374" ht="13.2"/>
    <row r="375" ht="13.2"/>
    <row r="376" ht="13.2"/>
    <row r="377" ht="13.2"/>
    <row r="378" ht="13.2"/>
    <row r="379" ht="13.2"/>
    <row r="380" ht="13.2"/>
    <row r="381" ht="13.2"/>
    <row r="382" ht="13.2"/>
    <row r="383" ht="13.2"/>
    <row r="384" ht="13.2"/>
    <row r="385" ht="13.2"/>
    <row r="386" ht="13.2"/>
    <row r="387" ht="13.2"/>
    <row r="388" ht="13.2"/>
    <row r="389" ht="13.2"/>
    <row r="390" ht="13.2"/>
    <row r="391" ht="13.2"/>
    <row r="392" ht="13.2"/>
    <row r="393" ht="13.2"/>
    <row r="394" ht="13.2"/>
    <row r="395" ht="13.2"/>
    <row r="396" ht="13.2"/>
    <row r="397" ht="13.2"/>
    <row r="398" ht="13.2"/>
    <row r="399" ht="13.2"/>
    <row r="400" ht="13.2"/>
    <row r="401" ht="13.2"/>
    <row r="402" ht="13.2"/>
    <row r="403" ht="13.2"/>
    <row r="404" ht="13.2"/>
    <row r="405" ht="13.2"/>
    <row r="406" ht="13.2"/>
    <row r="407" ht="13.2"/>
    <row r="408" ht="13.2"/>
    <row r="409" ht="13.2"/>
    <row r="410" ht="13.2"/>
    <row r="411" ht="13.2"/>
    <row r="412" ht="13.2"/>
    <row r="413" ht="13.2"/>
    <row r="414" ht="13.2"/>
    <row r="415" ht="13.2"/>
    <row r="416" ht="13.2"/>
    <row r="417" ht="13.2"/>
    <row r="418" ht="13.2"/>
    <row r="419" ht="13.2"/>
    <row r="420" ht="13.2"/>
    <row r="421" ht="13.2"/>
    <row r="422" ht="13.2"/>
    <row r="423" ht="13.2"/>
    <row r="424" ht="13.2"/>
    <row r="425" ht="13.2"/>
    <row r="426" ht="13.2"/>
    <row r="427" ht="13.2"/>
    <row r="428" ht="13.2"/>
    <row r="429" ht="13.2"/>
    <row r="430" ht="13.2"/>
    <row r="431" ht="13.2"/>
    <row r="432" ht="13.2"/>
    <row r="433" ht="13.2"/>
    <row r="434" ht="13.2"/>
    <row r="435" ht="13.2"/>
    <row r="436" ht="13.2"/>
    <row r="437" ht="13.2"/>
    <row r="438" ht="13.2"/>
    <row r="439" ht="13.2"/>
    <row r="440" ht="13.2"/>
    <row r="441" ht="13.2"/>
    <row r="442" ht="13.2"/>
    <row r="443" ht="13.2"/>
    <row r="444" ht="13.2"/>
    <row r="445" ht="13.2"/>
    <row r="446" ht="13.2"/>
    <row r="447" ht="13.2"/>
    <row r="448" ht="13.2"/>
    <row r="449" ht="13.2"/>
    <row r="450" ht="13.2"/>
    <row r="451" ht="13.2"/>
    <row r="452" ht="13.2"/>
    <row r="453" ht="13.2"/>
    <row r="454" ht="13.2"/>
    <row r="455" ht="13.2"/>
    <row r="456" ht="13.2"/>
    <row r="457" ht="13.2"/>
    <row r="458" ht="13.2"/>
    <row r="459" ht="13.2"/>
    <row r="460" ht="13.2"/>
    <row r="461" ht="13.2"/>
    <row r="462" ht="13.2"/>
    <row r="463" ht="13.2"/>
    <row r="464" ht="13.2"/>
    <row r="465" ht="13.2"/>
    <row r="466" ht="13.2"/>
    <row r="467" ht="13.2"/>
    <row r="468" ht="13.2"/>
    <row r="469" ht="13.2"/>
    <row r="470" ht="13.2"/>
    <row r="471" ht="13.2"/>
    <row r="472" ht="13.2"/>
    <row r="473" ht="13.2"/>
    <row r="474" ht="13.2"/>
    <row r="475" ht="13.2"/>
    <row r="476" ht="13.2"/>
    <row r="477" ht="13.2"/>
    <row r="478" ht="13.2"/>
    <row r="479" ht="13.2"/>
    <row r="480" ht="13.2"/>
    <row r="481" ht="13.2"/>
    <row r="482" ht="13.2"/>
    <row r="483" ht="13.2"/>
    <row r="484" ht="13.2"/>
    <row r="485" ht="13.2"/>
    <row r="486" ht="13.2"/>
    <row r="487" ht="13.2"/>
    <row r="488" ht="13.2"/>
    <row r="489" ht="13.2"/>
    <row r="490" ht="13.2"/>
    <row r="491" ht="13.2"/>
    <row r="492" ht="13.2"/>
    <row r="493" ht="13.2"/>
    <row r="494" ht="13.2"/>
    <row r="495" ht="13.2"/>
    <row r="496" ht="13.2"/>
    <row r="497" ht="13.2"/>
    <row r="498" ht="13.2"/>
    <row r="499" ht="13.2"/>
    <row r="500" ht="13.2"/>
    <row r="501" ht="13.2"/>
    <row r="502" ht="13.2"/>
    <row r="503" ht="13.2"/>
    <row r="504" ht="13.2"/>
    <row r="505" ht="13.2"/>
    <row r="506" ht="13.2"/>
    <row r="507" ht="13.2"/>
    <row r="508" ht="13.2"/>
    <row r="509" ht="13.2"/>
    <row r="510" ht="13.2"/>
    <row r="511" ht="13.2"/>
    <row r="512" ht="13.2"/>
    <row r="513" ht="13.2"/>
    <row r="514" ht="13.2"/>
    <row r="515" ht="13.2"/>
    <row r="516" ht="13.2"/>
    <row r="517" ht="13.2"/>
    <row r="518" ht="13.2"/>
    <row r="519" ht="13.2"/>
    <row r="520" ht="13.2"/>
    <row r="521" ht="13.2"/>
    <row r="522" ht="13.2"/>
    <row r="523" ht="13.2"/>
    <row r="524" ht="13.2"/>
    <row r="525" ht="13.2"/>
    <row r="526" ht="13.2"/>
    <row r="527" ht="13.2"/>
    <row r="528" ht="13.2"/>
    <row r="529" ht="13.2"/>
    <row r="530" ht="13.2"/>
    <row r="531" ht="13.2"/>
    <row r="532" ht="13.2"/>
    <row r="533" ht="13.2"/>
    <row r="534" ht="13.2"/>
    <row r="535" ht="13.2"/>
    <row r="536" ht="13.2"/>
    <row r="537" ht="13.2"/>
    <row r="538" ht="13.2"/>
    <row r="539" ht="13.2"/>
    <row r="540" ht="13.2"/>
    <row r="541" ht="13.2"/>
    <row r="542" ht="13.2"/>
    <row r="543" ht="13.2"/>
    <row r="544" ht="13.2"/>
    <row r="545" ht="13.2"/>
    <row r="546" ht="13.2"/>
    <row r="547" ht="13.2"/>
    <row r="548" ht="13.2"/>
    <row r="549" ht="13.2"/>
    <row r="550" ht="13.2"/>
    <row r="551" ht="13.2"/>
    <row r="552" ht="13.2"/>
    <row r="553" ht="13.2"/>
    <row r="554" ht="13.2"/>
    <row r="555" ht="13.2"/>
    <row r="556" ht="13.2"/>
    <row r="557" ht="13.2"/>
    <row r="558" ht="13.2"/>
    <row r="559" ht="13.2"/>
    <row r="560" ht="13.2"/>
    <row r="561" ht="13.2"/>
    <row r="562" ht="13.2"/>
    <row r="563" ht="13.2"/>
    <row r="564" ht="13.2"/>
    <row r="565" ht="13.2"/>
    <row r="566" ht="13.2"/>
    <row r="567" ht="13.2"/>
    <row r="568" ht="13.2"/>
    <row r="569" ht="13.2"/>
    <row r="570" ht="13.2"/>
    <row r="571" ht="13.2"/>
    <row r="572" ht="13.2"/>
    <row r="573" ht="13.2"/>
    <row r="574" ht="13.2"/>
    <row r="575" ht="13.2"/>
    <row r="576" ht="13.2"/>
    <row r="577" ht="13.2"/>
    <row r="578" ht="13.2"/>
    <row r="579" ht="13.2"/>
    <row r="580" ht="13.2"/>
    <row r="581" ht="13.2"/>
    <row r="582" ht="13.2"/>
    <row r="583" ht="13.2"/>
    <row r="584" ht="13.2"/>
    <row r="585" ht="13.2"/>
    <row r="586" ht="13.2"/>
    <row r="587" ht="13.2"/>
    <row r="588" ht="13.2"/>
    <row r="589" ht="13.2"/>
    <row r="590" ht="13.2"/>
    <row r="591" ht="13.2"/>
    <row r="592" ht="13.2"/>
    <row r="593" ht="13.2"/>
    <row r="594" ht="13.2"/>
    <row r="595" ht="13.2"/>
    <row r="596" ht="13.2"/>
    <row r="597" ht="13.2"/>
    <row r="598" ht="13.2"/>
    <row r="599" ht="13.2"/>
    <row r="600" ht="13.2"/>
    <row r="601" ht="13.2"/>
    <row r="602" ht="13.2"/>
    <row r="603" ht="13.2"/>
    <row r="604" ht="13.2"/>
    <row r="605" ht="13.2"/>
    <row r="606" ht="13.2"/>
    <row r="607" ht="13.2"/>
    <row r="608" ht="13.2"/>
    <row r="609" ht="13.2"/>
    <row r="610" ht="13.2"/>
    <row r="611" ht="13.2"/>
    <row r="612" ht="13.2"/>
    <row r="613" ht="13.2"/>
    <row r="614" ht="13.2"/>
    <row r="615" ht="13.2"/>
    <row r="616" ht="13.2"/>
    <row r="617" ht="13.2"/>
    <row r="618" ht="13.2"/>
    <row r="619" ht="13.2"/>
    <row r="620" ht="13.2"/>
    <row r="621" ht="13.2"/>
    <row r="622" ht="13.2"/>
    <row r="623" ht="13.2"/>
    <row r="624" ht="13.2"/>
    <row r="625" ht="13.2"/>
    <row r="626" ht="13.2"/>
    <row r="627" ht="13.2"/>
    <row r="628" ht="13.2"/>
    <row r="629" ht="13.2"/>
    <row r="630" ht="13.2"/>
    <row r="631" ht="13.2"/>
    <row r="632" ht="13.2"/>
    <row r="633" ht="13.2"/>
    <row r="634" ht="13.2"/>
    <row r="635" ht="13.2"/>
    <row r="636" ht="13.2"/>
    <row r="637" ht="13.2"/>
    <row r="638" ht="13.2"/>
    <row r="639" ht="13.2"/>
    <row r="640" ht="13.2"/>
    <row r="641" ht="13.2"/>
    <row r="642" ht="13.2"/>
    <row r="643" ht="13.2"/>
    <row r="644" ht="13.2"/>
    <row r="645" ht="13.2"/>
    <row r="646" ht="13.2"/>
    <row r="647" ht="13.2"/>
    <row r="648" ht="13.2"/>
    <row r="649" ht="13.2"/>
    <row r="650" ht="13.2"/>
    <row r="651" ht="13.2"/>
    <row r="652" ht="13.2"/>
    <row r="653" ht="13.2"/>
    <row r="654" ht="13.2"/>
    <row r="655" ht="13.2"/>
    <row r="656" ht="13.2"/>
    <row r="657" ht="13.2"/>
    <row r="658" ht="13.2"/>
    <row r="659" ht="13.2"/>
    <row r="660" ht="13.2"/>
    <row r="661" ht="13.2"/>
    <row r="662" ht="13.2"/>
    <row r="663" ht="13.2"/>
    <row r="664" ht="13.2"/>
    <row r="665" ht="13.2"/>
    <row r="666" ht="13.2"/>
    <row r="667" ht="13.2"/>
    <row r="668" ht="13.2"/>
    <row r="669" ht="13.2"/>
    <row r="670" ht="13.2"/>
    <row r="671" ht="13.2"/>
    <row r="672" ht="13.2"/>
    <row r="673" ht="13.2"/>
    <row r="674" ht="13.2"/>
    <row r="675" ht="13.2"/>
    <row r="676" ht="13.2"/>
    <row r="677" ht="13.2"/>
    <row r="678" ht="13.2"/>
    <row r="679" ht="13.2"/>
    <row r="680" ht="13.2"/>
    <row r="681" ht="13.2"/>
    <row r="682" ht="13.2"/>
    <row r="683" ht="13.2"/>
    <row r="684" ht="13.2"/>
    <row r="685" ht="13.2"/>
    <row r="686" ht="13.2"/>
    <row r="687" ht="13.2"/>
    <row r="688" ht="13.2"/>
    <row r="689" ht="13.2"/>
    <row r="690" ht="13.2"/>
    <row r="691" ht="13.2"/>
    <row r="692" ht="13.2"/>
    <row r="693" ht="13.2"/>
    <row r="694" ht="13.2"/>
    <row r="695" ht="13.2"/>
    <row r="696" ht="13.2"/>
    <row r="697" ht="13.2"/>
    <row r="698" ht="13.2"/>
    <row r="699" ht="13.2"/>
    <row r="700" ht="13.2"/>
    <row r="701" ht="13.2"/>
    <row r="702" ht="13.2"/>
    <row r="703" ht="13.2"/>
    <row r="704" ht="13.2"/>
    <row r="705" ht="13.2"/>
    <row r="706" ht="13.2"/>
    <row r="707" ht="13.2"/>
    <row r="708" ht="13.2"/>
    <row r="709" ht="13.2"/>
    <row r="710" ht="13.2"/>
    <row r="711" ht="13.2"/>
    <row r="712" ht="13.2"/>
    <row r="713" ht="13.2"/>
    <row r="714" ht="13.2"/>
    <row r="715" ht="13.2"/>
    <row r="716" ht="13.2"/>
    <row r="717" ht="13.2"/>
    <row r="718" ht="13.2"/>
    <row r="719" ht="13.2"/>
    <row r="720" ht="13.2"/>
    <row r="721" ht="13.2"/>
    <row r="722" ht="13.2"/>
    <row r="723" ht="13.2"/>
    <row r="724" ht="13.2"/>
    <row r="725" ht="13.2"/>
    <row r="726" ht="13.2"/>
    <row r="727" ht="13.2"/>
    <row r="728" ht="13.2"/>
    <row r="729" ht="13.2"/>
    <row r="730" ht="13.2"/>
    <row r="731" ht="13.2"/>
    <row r="732" ht="13.2"/>
    <row r="733" ht="13.2"/>
    <row r="734" ht="13.2"/>
    <row r="735" ht="13.2"/>
    <row r="736" ht="13.2"/>
    <row r="737" ht="13.2"/>
    <row r="738" ht="13.2"/>
    <row r="739" ht="13.2"/>
    <row r="740" ht="13.2"/>
    <row r="741" ht="13.2"/>
    <row r="742" ht="13.2"/>
    <row r="743" ht="13.2"/>
    <row r="744" ht="13.2"/>
    <row r="745" ht="13.2"/>
    <row r="746" ht="13.2"/>
    <row r="747" ht="13.2"/>
    <row r="748" ht="13.2"/>
    <row r="749" ht="13.2"/>
    <row r="750" ht="13.2"/>
    <row r="751" ht="13.2"/>
    <row r="752" ht="13.2"/>
    <row r="753" ht="13.2"/>
    <row r="754" ht="13.2"/>
    <row r="755" ht="13.2"/>
    <row r="756" ht="13.2"/>
    <row r="757" ht="13.2"/>
    <row r="758" ht="13.2"/>
    <row r="759" ht="13.2"/>
    <row r="760" ht="13.2"/>
    <row r="761" ht="13.2"/>
    <row r="762" ht="13.2"/>
    <row r="763" ht="13.2"/>
    <row r="764" ht="13.2"/>
    <row r="765" ht="13.2"/>
    <row r="766" ht="13.2"/>
    <row r="767" ht="13.2"/>
    <row r="768" ht="13.2"/>
    <row r="769" ht="13.2"/>
    <row r="770" ht="13.2"/>
    <row r="771" ht="13.2"/>
    <row r="772" ht="13.2"/>
    <row r="773" ht="13.2"/>
    <row r="774" ht="13.2"/>
    <row r="775" ht="13.2"/>
    <row r="776" ht="13.2"/>
    <row r="777" ht="13.2"/>
    <row r="778" ht="13.2"/>
    <row r="779" ht="13.2"/>
    <row r="780" ht="13.2"/>
    <row r="781" ht="13.2"/>
    <row r="782" ht="13.2"/>
    <row r="783" ht="13.2"/>
    <row r="784" ht="13.2"/>
    <row r="785" ht="13.2"/>
    <row r="786" ht="13.2"/>
    <row r="787" ht="13.2"/>
    <row r="788" ht="13.2"/>
    <row r="789" ht="13.2"/>
    <row r="790" ht="13.2"/>
    <row r="791" ht="13.2"/>
    <row r="792" ht="13.2"/>
    <row r="793" ht="13.2"/>
    <row r="794" ht="13.2"/>
    <row r="795" ht="13.2"/>
    <row r="796" ht="13.2"/>
    <row r="797" ht="13.2"/>
    <row r="798" ht="13.2"/>
    <row r="799" ht="13.2"/>
    <row r="800" ht="13.2"/>
    <row r="801" ht="13.2"/>
    <row r="802" ht="13.2"/>
    <row r="803" ht="13.2"/>
    <row r="804" ht="13.2"/>
    <row r="805" ht="13.2"/>
    <row r="806" ht="13.2"/>
    <row r="807" ht="13.2"/>
    <row r="808" ht="13.2"/>
    <row r="809" ht="13.2"/>
    <row r="810" ht="13.2"/>
    <row r="811" ht="13.2"/>
    <row r="812" ht="13.2"/>
    <row r="813" ht="13.2"/>
    <row r="814" ht="13.2"/>
    <row r="815" ht="13.2"/>
    <row r="816" ht="13.2"/>
    <row r="817" ht="13.2"/>
    <row r="818" ht="13.2"/>
    <row r="819" ht="13.2"/>
    <row r="820" ht="13.2"/>
    <row r="821" ht="13.2"/>
    <row r="822" ht="13.2"/>
    <row r="823" ht="13.2"/>
    <row r="824" ht="13.2"/>
    <row r="825" ht="13.2"/>
    <row r="826" ht="13.2"/>
    <row r="827" ht="13.2"/>
    <row r="828" ht="13.2"/>
    <row r="829" ht="13.2"/>
    <row r="830" ht="13.2"/>
    <row r="831" ht="13.2"/>
    <row r="832" ht="13.2"/>
    <row r="833" ht="13.2"/>
    <row r="834" ht="13.2"/>
    <row r="835" ht="13.2"/>
    <row r="836" ht="13.2"/>
    <row r="837" ht="13.2"/>
    <row r="838" ht="13.2"/>
    <row r="839" ht="13.2"/>
    <row r="840" ht="13.2"/>
    <row r="841" ht="13.2"/>
    <row r="842" ht="13.2"/>
    <row r="843" ht="13.2"/>
    <row r="844" ht="13.2"/>
    <row r="845" ht="13.2"/>
    <row r="846" ht="13.2"/>
    <row r="847" ht="13.2"/>
    <row r="848" ht="13.2"/>
    <row r="849" ht="13.2"/>
    <row r="850" ht="13.2"/>
    <row r="851" ht="13.2"/>
    <row r="852" ht="13.2"/>
    <row r="853" ht="13.2"/>
    <row r="854" ht="13.2"/>
    <row r="855" ht="13.2"/>
    <row r="856" ht="13.2"/>
    <row r="857" ht="13.2"/>
    <row r="858" ht="13.2"/>
    <row r="859" ht="13.2"/>
    <row r="860" ht="13.2"/>
    <row r="861" ht="13.2"/>
    <row r="862" ht="13.2"/>
    <row r="863" ht="13.2"/>
    <row r="864" ht="13.2"/>
    <row r="865" ht="13.2"/>
    <row r="866" ht="13.2"/>
    <row r="867" ht="13.2"/>
    <row r="868" ht="13.2"/>
    <row r="869" ht="13.2"/>
    <row r="870" ht="13.2"/>
    <row r="871" ht="13.2"/>
    <row r="872" ht="13.2"/>
    <row r="873" ht="13.2"/>
    <row r="874" ht="13.2"/>
    <row r="875" ht="13.2"/>
    <row r="876" ht="13.2"/>
    <row r="877" ht="13.2"/>
    <row r="878" ht="13.2"/>
    <row r="879" ht="13.2"/>
    <row r="880" ht="13.2"/>
    <row r="881" ht="13.2"/>
    <row r="882" ht="13.2"/>
    <row r="883" ht="13.2"/>
    <row r="884" ht="13.2"/>
    <row r="885" ht="13.2"/>
    <row r="886" ht="13.2"/>
    <row r="887" ht="13.2"/>
    <row r="888" ht="13.2"/>
    <row r="889" ht="13.2"/>
    <row r="890" ht="13.2"/>
    <row r="891" ht="13.2"/>
    <row r="892" ht="13.2"/>
    <row r="893" ht="13.2"/>
    <row r="894" ht="13.2"/>
    <row r="895" ht="13.2"/>
    <row r="896" ht="13.2"/>
    <row r="897" ht="13.2"/>
    <row r="898" ht="13.2"/>
    <row r="899" ht="13.2"/>
    <row r="900" ht="13.2"/>
    <row r="901" ht="13.2"/>
    <row r="902" ht="13.2"/>
    <row r="903" ht="13.2"/>
    <row r="904" ht="13.2"/>
    <row r="905" ht="13.2"/>
    <row r="906" ht="13.2"/>
    <row r="907" ht="13.2"/>
    <row r="908" ht="13.2"/>
    <row r="909" ht="13.2"/>
    <row r="910" ht="13.2"/>
    <row r="911" ht="13.2"/>
    <row r="912" ht="13.2"/>
    <row r="913" ht="13.2"/>
    <row r="914" ht="13.2"/>
    <row r="915" ht="13.2"/>
    <row r="916" ht="13.2"/>
    <row r="917" ht="13.2"/>
    <row r="918" ht="13.2"/>
    <row r="919" ht="13.2"/>
    <row r="920" ht="13.2"/>
    <row r="921" ht="13.2"/>
    <row r="922" ht="13.2"/>
    <row r="923" ht="13.2"/>
    <row r="924" ht="13.2"/>
    <row r="925" ht="13.2"/>
    <row r="926" ht="13.2"/>
    <row r="927" ht="13.2"/>
    <row r="928" ht="13.2"/>
    <row r="929" ht="13.2"/>
    <row r="930" ht="13.2"/>
    <row r="931" ht="13.2"/>
    <row r="932" ht="13.2"/>
    <row r="933" ht="13.2"/>
    <row r="934" ht="13.2"/>
    <row r="935" ht="13.2"/>
    <row r="936" ht="13.2"/>
    <row r="937" ht="13.2"/>
    <row r="938" ht="13.2"/>
    <row r="939" ht="13.2"/>
    <row r="940" ht="13.2"/>
    <row r="941" ht="13.2"/>
    <row r="942" ht="13.2"/>
    <row r="943" ht="13.2"/>
    <row r="944" ht="13.2"/>
    <row r="945" ht="13.2"/>
    <row r="946" ht="13.2"/>
    <row r="947" ht="13.2"/>
    <row r="948" ht="13.2"/>
    <row r="949" ht="13.2"/>
    <row r="950" ht="13.2"/>
    <row r="951" ht="13.2"/>
    <row r="952" ht="13.2"/>
    <row r="953" ht="13.2"/>
    <row r="954" ht="13.2"/>
    <row r="955" ht="13.2"/>
    <row r="956" ht="13.2"/>
    <row r="957" ht="13.2"/>
    <row r="958" ht="13.2"/>
    <row r="959" ht="13.2"/>
    <row r="960" ht="13.2"/>
    <row r="961" ht="13.2"/>
    <row r="962" ht="13.2"/>
    <row r="963" ht="13.2"/>
    <row r="964" ht="13.2"/>
    <row r="965" ht="13.2"/>
    <row r="966" ht="13.2"/>
    <row r="967" ht="13.2"/>
    <row r="968" ht="13.2"/>
    <row r="969" ht="13.2"/>
    <row r="970" ht="13.2"/>
    <row r="971" ht="13.2"/>
    <row r="972" ht="13.2"/>
    <row r="973" ht="13.2"/>
    <row r="974" ht="13.2"/>
    <row r="975" ht="13.2"/>
    <row r="976" ht="13.2"/>
    <row r="977" ht="13.2"/>
    <row r="978" ht="13.2"/>
    <row r="979" ht="13.2"/>
    <row r="980" ht="13.2"/>
    <row r="981" ht="13.2"/>
    <row r="982" ht="13.2"/>
    <row r="983" ht="13.2"/>
    <row r="984" ht="13.2"/>
    <row r="985" ht="13.2"/>
    <row r="986" ht="13.2"/>
    <row r="987" ht="13.2"/>
    <row r="988" ht="13.2"/>
    <row r="989" ht="13.2"/>
    <row r="990" ht="13.2"/>
    <row r="991" ht="13.2"/>
    <row r="992" ht="13.2"/>
    <row r="993" ht="13.2"/>
    <row r="994" ht="13.2"/>
    <row r="995" ht="13.2"/>
    <row r="996" ht="13.2"/>
    <row r="997" ht="13.2"/>
    <row r="998" ht="13.2"/>
    <row r="999" ht="13.2"/>
    <row r="1000" ht="13.2"/>
    <row r="1001" ht="13.2"/>
    <row r="1002" ht="13.2"/>
    <row r="1003" ht="13.2"/>
    <row r="1004" ht="13.2"/>
    <row r="1005" ht="13.2"/>
    <row r="1006" ht="13.2"/>
    <row r="1007" ht="13.2"/>
    <row r="1008" ht="13.2"/>
    <row r="1009" ht="13.2"/>
    <row r="1010" ht="13.2"/>
    <row r="1011" ht="13.2"/>
    <row r="1012" ht="13.2"/>
    <row r="1013" ht="13.2"/>
    <row r="1014" ht="13.2"/>
    <row r="1015" ht="13.2"/>
    <row r="1016" ht="13.2"/>
    <row r="1017" ht="13.2"/>
    <row r="1018" ht="13.2"/>
    <row r="1019" ht="13.2"/>
    <row r="1020" ht="13.2"/>
    <row r="1021" ht="13.2"/>
    <row r="1022" ht="13.2"/>
    <row r="1023" ht="13.2"/>
    <row r="1024" ht="13.2"/>
    <row r="1025" ht="13.2"/>
    <row r="1026" ht="13.2"/>
    <row r="1027" ht="13.2"/>
    <row r="1028" ht="13.2"/>
    <row r="1029" ht="13.2"/>
  </sheetData>
  <sheetProtection algorithmName="SHA-512" hashValue="Z73mmyQ29YyGJrv24QHOrz2xMI23CC5gLDk6gV82Titg/XX7sNxf9MtMXT1UfRIVGPudV1XYiJNErttKxaR36Q==" saltValue="1if3jKRSerrmYQpFnP8Jhg==" spinCount="100000" sheet="1" formatCells="0" formatColumns="0" formatRows="0" insertRows="0" deleteRows="0"/>
  <mergeCells count="101">
    <mergeCell ref="C110:K110"/>
    <mergeCell ref="C111:K111"/>
    <mergeCell ref="C112:K112"/>
    <mergeCell ref="C113:K113"/>
    <mergeCell ref="C105:K105"/>
    <mergeCell ref="C106:K106"/>
    <mergeCell ref="C107:K107"/>
    <mergeCell ref="C108:K108"/>
    <mergeCell ref="C109:K109"/>
    <mergeCell ref="C103:K103"/>
    <mergeCell ref="C104:K104"/>
    <mergeCell ref="C95:K95"/>
    <mergeCell ref="C96:K96"/>
    <mergeCell ref="C97:K97"/>
    <mergeCell ref="C98:K98"/>
    <mergeCell ref="C99:K99"/>
    <mergeCell ref="C100:K100"/>
    <mergeCell ref="C101:K101"/>
    <mergeCell ref="B9:E9"/>
    <mergeCell ref="B10:E10"/>
    <mergeCell ref="B8:E8"/>
    <mergeCell ref="F8:K8"/>
    <mergeCell ref="F9:K9"/>
    <mergeCell ref="F10:K10"/>
    <mergeCell ref="C93:K93"/>
    <mergeCell ref="C94:K94"/>
    <mergeCell ref="C102:K102"/>
    <mergeCell ref="C36:K36"/>
    <mergeCell ref="B28:K28"/>
    <mergeCell ref="C29:K29"/>
    <mergeCell ref="C30:K30"/>
    <mergeCell ref="C31:K31"/>
    <mergeCell ref="C32:K32"/>
    <mergeCell ref="B11:E11"/>
    <mergeCell ref="F11:K11"/>
    <mergeCell ref="C33:K33"/>
    <mergeCell ref="C34:K34"/>
    <mergeCell ref="C35:K35"/>
    <mergeCell ref="B17:C17"/>
    <mergeCell ref="B18:C18"/>
    <mergeCell ref="B19:C19"/>
    <mergeCell ref="B20:C20"/>
    <mergeCell ref="B21:C21"/>
    <mergeCell ref="C37:K37"/>
    <mergeCell ref="C38:K38"/>
    <mergeCell ref="C39:K39"/>
    <mergeCell ref="C50:K50"/>
    <mergeCell ref="C51:K51"/>
    <mergeCell ref="C40:K40"/>
    <mergeCell ref="C41:K41"/>
    <mergeCell ref="C42:K42"/>
    <mergeCell ref="C43:K43"/>
    <mergeCell ref="C44:K44"/>
    <mergeCell ref="C45:K45"/>
    <mergeCell ref="C46:K46"/>
    <mergeCell ref="C47:K47"/>
    <mergeCell ref="C48:K48"/>
    <mergeCell ref="C49:K49"/>
    <mergeCell ref="C85:K85"/>
    <mergeCell ref="C80:K80"/>
    <mergeCell ref="C83:K83"/>
    <mergeCell ref="C84:K84"/>
    <mergeCell ref="C81:K81"/>
    <mergeCell ref="C82:K82"/>
    <mergeCell ref="B81:B82"/>
    <mergeCell ref="B83:B84"/>
    <mergeCell ref="C52:K52"/>
    <mergeCell ref="C53:K53"/>
    <mergeCell ref="C54:K54"/>
    <mergeCell ref="C73:K73"/>
    <mergeCell ref="C74:K74"/>
    <mergeCell ref="C58:K58"/>
    <mergeCell ref="C55:K55"/>
    <mergeCell ref="C56:K56"/>
    <mergeCell ref="C57:K57"/>
    <mergeCell ref="C67:K67"/>
    <mergeCell ref="C68:K68"/>
    <mergeCell ref="C114:K114"/>
    <mergeCell ref="C115:K115"/>
    <mergeCell ref="C59:K59"/>
    <mergeCell ref="C60:K60"/>
    <mergeCell ref="C61:K61"/>
    <mergeCell ref="C62:K62"/>
    <mergeCell ref="C63:K63"/>
    <mergeCell ref="C64:K64"/>
    <mergeCell ref="C65:K65"/>
    <mergeCell ref="C66:K66"/>
    <mergeCell ref="C69:K69"/>
    <mergeCell ref="C70:K70"/>
    <mergeCell ref="C71:K71"/>
    <mergeCell ref="C72:K72"/>
    <mergeCell ref="C92:K92"/>
    <mergeCell ref="C86:K86"/>
    <mergeCell ref="C75:K75"/>
    <mergeCell ref="C76:K76"/>
    <mergeCell ref="C79:K79"/>
    <mergeCell ref="C77:K77"/>
    <mergeCell ref="C78:K78"/>
    <mergeCell ref="B89:K89"/>
    <mergeCell ref="C90:K90"/>
    <mergeCell ref="C91:K91"/>
  </mergeCells>
  <conditionalFormatting sqref="G17">
    <cfRule type="cellIs" dxfId="50" priority="116" operator="equal">
      <formula>"X"</formula>
    </cfRule>
  </conditionalFormatting>
  <conditionalFormatting sqref="D19 D17:E18">
    <cfRule type="cellIs" dxfId="49" priority="119" operator="equal">
      <formula>"X"</formula>
    </cfRule>
  </conditionalFormatting>
  <conditionalFormatting sqref="D21 D20:E20 E19:F19 F18:G18">
    <cfRule type="cellIs" dxfId="48" priority="118" operator="equal">
      <formula>"X"</formula>
    </cfRule>
  </conditionalFormatting>
  <conditionalFormatting sqref="H18 G19:H19 F20:H20 E21:H21">
    <cfRule type="cellIs" dxfId="47" priority="117" operator="equal">
      <formula>"X"</formula>
    </cfRule>
  </conditionalFormatting>
  <conditionalFormatting sqref="C86 C29:K66 C68:K80 C83:K85">
    <cfRule type="cellIs" dxfId="46" priority="10" operator="equal">
      <formula>0</formula>
    </cfRule>
  </conditionalFormatting>
  <conditionalFormatting sqref="H17">
    <cfRule type="cellIs" dxfId="45" priority="7" operator="equal">
      <formula>"X"</formula>
    </cfRule>
  </conditionalFormatting>
  <conditionalFormatting sqref="F17">
    <cfRule type="cellIs" dxfId="44" priority="6" operator="equal">
      <formula>"X"</formula>
    </cfRule>
  </conditionalFormatting>
  <conditionalFormatting sqref="B3">
    <cfRule type="cellIs" dxfId="43" priority="5" operator="equal">
      <formula>"Disregard this page if you are performing an intial screening"</formula>
    </cfRule>
  </conditionalFormatting>
  <conditionalFormatting sqref="F8:K8">
    <cfRule type="cellIs" dxfId="42" priority="4" operator="equal">
      <formula>"Check that you have chosen the correct option on the scope worksheet"</formula>
    </cfRule>
  </conditionalFormatting>
  <conditionalFormatting sqref="C67:K67">
    <cfRule type="cellIs" dxfId="41" priority="2" operator="equal">
      <formula>0</formula>
    </cfRule>
  </conditionalFormatting>
  <conditionalFormatting sqref="C81:K82">
    <cfRule type="cellIs" dxfId="40" priority="1" operator="equal">
      <formula>0</formula>
    </cfRule>
  </conditionalFormatting>
  <pageMargins left="0.7" right="0.7" top="0.75" bottom="0.75" header="0.3" footer="0.3"/>
  <pageSetup orientation="portrait" r:id="rId1"/>
  <headerFooter>
    <oddHeader>&amp;C&amp;K00B050Vulnerability Assessment Tool, Food Fraud Advisors 2019</oddHeader>
    <oddFooter>&amp;CInsert your company's document control features here</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67" id="{8314D3B2-3934-408A-B520-97AA0663E91D}">
            <xm:f>'calc sheet'!H38="high risk"</xm:f>
            <x14:dxf>
              <font>
                <b/>
                <i val="0"/>
              </font>
            </x14:dxf>
          </x14:cfRule>
          <xm:sqref>B24</xm:sqref>
        </x14:conditionalFormatting>
        <x14:conditionalFormatting xmlns:xm="http://schemas.microsoft.com/office/excel/2006/main">
          <x14:cfRule type="expression" priority="66" id="{06E602DA-2596-4A21-A845-05176DE4A673}">
            <xm:f>'calc sheet'!H38="medium risk"</xm:f>
            <x14:dxf>
              <font>
                <b/>
                <i val="0"/>
              </font>
            </x14:dxf>
          </x14:cfRule>
          <xm:sqref>B25</xm:sqref>
        </x14:conditionalFormatting>
        <x14:conditionalFormatting xmlns:xm="http://schemas.microsoft.com/office/excel/2006/main">
          <x14:cfRule type="expression" priority="65" id="{CFA61B4F-8256-4BE5-895F-BFA7715183CA}">
            <xm:f>'calc sheet'!H38="low risk"</xm:f>
            <x14:dxf>
              <font>
                <b/>
                <i val="0"/>
              </font>
            </x14:dxf>
          </x14:cfRule>
          <xm:sqref>B26</xm:sqref>
        </x14:conditionalFormatting>
        <x14:conditionalFormatting xmlns:xm="http://schemas.microsoft.com/office/excel/2006/main">
          <x14:cfRule type="expression" priority="3" id="{5F271C47-99D2-4680-9B37-996EF63467AC}">
            <xm:f>'Scope worksheet'!$D$4="initial screening"</xm:f>
            <x14:dxf>
              <font>
                <color theme="0"/>
              </font>
            </x14:dxf>
          </x14:cfRule>
          <xm:sqref>F9:K11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pageSetUpPr fitToPage="1"/>
  </sheetPr>
  <dimension ref="A1:P392"/>
  <sheetViews>
    <sheetView showGridLines="0" zoomScale="98" zoomScaleNormal="98" workbookViewId="0"/>
  </sheetViews>
  <sheetFormatPr defaultColWidth="9.109375" defaultRowHeight="13.8"/>
  <cols>
    <col min="1" max="1" width="6.5546875" style="1" customWidth="1"/>
    <col min="2" max="2" width="12.5546875" style="1" customWidth="1"/>
    <col min="3" max="3" width="117" style="12" customWidth="1"/>
    <col min="4" max="4" width="1.88671875" style="12" customWidth="1"/>
    <col min="5" max="5" width="13.88671875" style="1" customWidth="1"/>
    <col min="6" max="16384" width="9.109375" style="1"/>
  </cols>
  <sheetData>
    <row r="1" spans="1:16" ht="8.25" customHeight="1">
      <c r="A1" s="24"/>
      <c r="B1" s="24"/>
      <c r="C1" s="25"/>
      <c r="D1" s="25"/>
      <c r="E1" s="24"/>
      <c r="F1" s="24"/>
      <c r="G1" s="24"/>
      <c r="H1" s="24"/>
      <c r="I1" s="24"/>
      <c r="J1" s="24"/>
      <c r="K1" s="24"/>
      <c r="L1" s="24"/>
      <c r="M1" s="24"/>
      <c r="N1" s="24"/>
      <c r="O1" s="24"/>
      <c r="P1" s="24"/>
    </row>
    <row r="2" spans="1:16" ht="36.6">
      <c r="A2" s="24"/>
      <c r="B2" s="291" t="s">
        <v>9</v>
      </c>
      <c r="C2" s="25"/>
      <c r="D2" s="25"/>
      <c r="E2" s="24"/>
      <c r="F2" s="24"/>
      <c r="G2" s="24"/>
      <c r="H2" s="24"/>
      <c r="I2" s="24"/>
      <c r="J2" s="24"/>
      <c r="K2" s="24"/>
      <c r="L2" s="24"/>
      <c r="M2" s="24"/>
      <c r="N2" s="24"/>
      <c r="O2" s="24"/>
      <c r="P2" s="24"/>
    </row>
    <row r="3" spans="1:16" ht="29.25" customHeight="1">
      <c r="A3" s="24"/>
      <c r="B3" s="292" t="s">
        <v>341</v>
      </c>
      <c r="C3" s="25"/>
      <c r="D3" s="25"/>
      <c r="E3" s="24"/>
      <c r="F3" s="24"/>
      <c r="G3" s="24"/>
      <c r="H3" s="24"/>
      <c r="I3" s="24"/>
      <c r="J3" s="24"/>
      <c r="K3" s="24"/>
      <c r="L3" s="24"/>
      <c r="M3" s="24"/>
      <c r="N3" s="24"/>
      <c r="O3" s="24"/>
      <c r="P3" s="24"/>
    </row>
    <row r="4" spans="1:16" ht="207.75" customHeight="1">
      <c r="A4" s="24"/>
      <c r="B4" s="24"/>
      <c r="C4" s="293"/>
      <c r="D4" s="293"/>
      <c r="E4" s="24"/>
      <c r="F4" s="24"/>
      <c r="G4" s="24"/>
      <c r="H4" s="24"/>
      <c r="I4" s="24"/>
      <c r="J4" s="24"/>
      <c r="K4" s="24"/>
      <c r="L4" s="24"/>
      <c r="M4" s="24"/>
      <c r="N4" s="24"/>
      <c r="O4" s="24"/>
      <c r="P4" s="24"/>
    </row>
    <row r="5" spans="1:16" ht="28.8">
      <c r="A5" s="24"/>
      <c r="B5" s="276" t="s">
        <v>10</v>
      </c>
      <c r="C5" s="277" t="s">
        <v>64</v>
      </c>
      <c r="D5" s="295"/>
      <c r="E5" s="24"/>
      <c r="F5" s="24"/>
      <c r="G5" s="24"/>
      <c r="H5" s="24"/>
      <c r="I5" s="24"/>
      <c r="J5" s="24"/>
      <c r="K5" s="24"/>
      <c r="L5" s="24"/>
      <c r="M5" s="24"/>
      <c r="N5" s="24"/>
      <c r="O5" s="24"/>
      <c r="P5" s="24"/>
    </row>
    <row r="6" spans="1:16" ht="18" customHeight="1">
      <c r="A6" s="24"/>
      <c r="B6" s="278"/>
      <c r="C6" s="279" t="s">
        <v>49</v>
      </c>
      <c r="D6" s="295"/>
      <c r="E6" s="24"/>
      <c r="F6" s="24"/>
      <c r="G6" s="24"/>
      <c r="H6" s="24"/>
      <c r="I6" s="24"/>
      <c r="J6" s="24"/>
      <c r="K6" s="24"/>
      <c r="L6" s="24"/>
      <c r="M6" s="24"/>
      <c r="N6" s="24"/>
      <c r="O6" s="24"/>
      <c r="P6" s="24"/>
    </row>
    <row r="7" spans="1:16" ht="9.75" customHeight="1" thickBot="1">
      <c r="A7" s="24"/>
      <c r="B7" s="297"/>
      <c r="C7" s="295"/>
      <c r="D7" s="295"/>
      <c r="E7" s="24"/>
      <c r="F7" s="24"/>
      <c r="G7" s="24"/>
      <c r="H7" s="24"/>
      <c r="I7" s="24"/>
      <c r="J7" s="24"/>
      <c r="K7" s="24"/>
      <c r="L7" s="24"/>
      <c r="M7" s="24"/>
      <c r="N7" s="24"/>
      <c r="O7" s="24"/>
      <c r="P7" s="24"/>
    </row>
    <row r="8" spans="1:16" ht="49.2" customHeight="1" thickBot="1">
      <c r="A8" s="24"/>
      <c r="B8" s="276" t="s">
        <v>110</v>
      </c>
      <c r="C8" s="277" t="s">
        <v>288</v>
      </c>
      <c r="D8" s="295"/>
      <c r="E8" s="54" t="s">
        <v>289</v>
      </c>
      <c r="F8" s="24"/>
      <c r="G8" s="24"/>
      <c r="H8" s="24"/>
      <c r="I8" s="24"/>
      <c r="J8" s="24"/>
      <c r="K8" s="24"/>
      <c r="L8" s="24"/>
      <c r="M8" s="24"/>
      <c r="N8" s="24"/>
      <c r="O8" s="24"/>
      <c r="P8" s="24"/>
    </row>
    <row r="9" spans="1:16" ht="22.8" customHeight="1">
      <c r="A9" s="24"/>
      <c r="B9" s="280"/>
      <c r="C9" s="279" t="s">
        <v>111</v>
      </c>
      <c r="D9" s="295"/>
      <c r="E9" s="296"/>
      <c r="F9" s="24"/>
      <c r="G9" s="24"/>
      <c r="H9" s="24"/>
      <c r="I9" s="24"/>
      <c r="J9" s="24"/>
      <c r="K9" s="24"/>
      <c r="L9" s="24"/>
      <c r="M9" s="24"/>
      <c r="N9" s="24"/>
      <c r="O9" s="24"/>
      <c r="P9" s="24"/>
    </row>
    <row r="10" spans="1:16" ht="16.2" customHeight="1" thickBot="1">
      <c r="A10" s="24"/>
      <c r="B10" s="24"/>
      <c r="C10" s="24"/>
      <c r="D10" s="295"/>
      <c r="E10" s="296"/>
      <c r="F10" s="24"/>
      <c r="G10" s="24"/>
      <c r="H10" s="24"/>
      <c r="I10" s="24"/>
      <c r="J10" s="24"/>
      <c r="K10" s="24"/>
      <c r="L10" s="24"/>
      <c r="M10" s="24"/>
      <c r="N10" s="24"/>
      <c r="O10" s="24"/>
      <c r="P10" s="24"/>
    </row>
    <row r="11" spans="1:16" ht="46.8" customHeight="1" thickBot="1">
      <c r="A11" s="24"/>
      <c r="B11" s="276" t="s">
        <v>238</v>
      </c>
      <c r="C11" s="277" t="s">
        <v>282</v>
      </c>
      <c r="D11" s="379"/>
      <c r="E11" s="380" t="s">
        <v>280</v>
      </c>
      <c r="F11" s="24"/>
      <c r="G11" s="24"/>
      <c r="H11" s="24"/>
      <c r="I11" s="24"/>
      <c r="J11" s="24"/>
      <c r="K11" s="24"/>
      <c r="L11" s="24"/>
      <c r="M11" s="24"/>
      <c r="N11" s="24"/>
      <c r="O11" s="24"/>
      <c r="P11" s="24"/>
    </row>
    <row r="12" spans="1:16" ht="7.8" customHeight="1" thickBot="1">
      <c r="A12" s="24"/>
      <c r="B12" s="283"/>
      <c r="C12" s="284"/>
      <c r="D12" s="295"/>
      <c r="E12" s="296"/>
      <c r="F12" s="24"/>
      <c r="G12" s="24"/>
      <c r="H12" s="24"/>
      <c r="I12" s="24"/>
      <c r="J12" s="24"/>
      <c r="K12" s="24"/>
      <c r="L12" s="24"/>
      <c r="M12" s="24"/>
      <c r="N12" s="24"/>
      <c r="O12" s="24"/>
      <c r="P12" s="24"/>
    </row>
    <row r="13" spans="1:16" ht="78.599999999999994" customHeight="1" thickBot="1">
      <c r="A13" s="24"/>
      <c r="B13" s="278"/>
      <c r="C13" s="279" t="s">
        <v>281</v>
      </c>
      <c r="D13" s="295"/>
      <c r="E13" s="54" t="s">
        <v>291</v>
      </c>
      <c r="F13" s="24"/>
      <c r="G13" s="24"/>
      <c r="H13" s="24"/>
      <c r="I13" s="24"/>
      <c r="J13" s="24"/>
      <c r="K13" s="24"/>
      <c r="L13" s="24"/>
      <c r="M13" s="24"/>
      <c r="N13" s="24"/>
      <c r="O13" s="24"/>
      <c r="P13" s="24"/>
    </row>
    <row r="14" spans="1:16" ht="9.75" customHeight="1" thickBot="1">
      <c r="A14" s="24"/>
      <c r="B14" s="298"/>
      <c r="C14" s="295"/>
      <c r="D14" s="295"/>
      <c r="E14" s="24"/>
      <c r="F14" s="24"/>
      <c r="G14" s="24"/>
      <c r="H14" s="24"/>
      <c r="I14" s="24"/>
      <c r="J14" s="24"/>
      <c r="K14" s="24"/>
      <c r="L14" s="24"/>
      <c r="M14" s="24"/>
      <c r="N14" s="24"/>
      <c r="O14" s="24"/>
      <c r="P14" s="24"/>
    </row>
    <row r="15" spans="1:16" ht="109.2" customHeight="1" thickBot="1">
      <c r="A15" s="24"/>
      <c r="B15" s="281" t="s">
        <v>160</v>
      </c>
      <c r="C15" s="282" t="s">
        <v>290</v>
      </c>
      <c r="D15" s="295"/>
      <c r="E15" s="54" t="s">
        <v>108</v>
      </c>
      <c r="F15" s="24"/>
      <c r="G15" s="24"/>
      <c r="H15" s="24"/>
      <c r="I15" s="24"/>
      <c r="J15" s="24"/>
      <c r="K15" s="24"/>
      <c r="L15" s="24"/>
      <c r="M15" s="24"/>
      <c r="N15" s="24"/>
      <c r="O15" s="24"/>
      <c r="P15" s="24"/>
    </row>
    <row r="16" spans="1:16" ht="9.75" customHeight="1" thickBot="1">
      <c r="A16" s="24"/>
      <c r="B16" s="297"/>
      <c r="C16" s="295"/>
      <c r="D16" s="295"/>
      <c r="E16" s="24"/>
      <c r="F16" s="24"/>
      <c r="G16" s="24"/>
      <c r="H16" s="24"/>
      <c r="I16" s="24"/>
      <c r="J16" s="24"/>
      <c r="K16" s="24"/>
      <c r="L16" s="24"/>
      <c r="M16" s="24"/>
      <c r="N16" s="24"/>
      <c r="O16" s="24"/>
      <c r="P16" s="24"/>
    </row>
    <row r="17" spans="1:16" ht="72.599999999999994" thickBot="1">
      <c r="A17" s="24"/>
      <c r="B17" s="276" t="s">
        <v>50</v>
      </c>
      <c r="C17" s="277" t="s">
        <v>296</v>
      </c>
      <c r="D17" s="295"/>
      <c r="E17" s="54" t="s">
        <v>109</v>
      </c>
      <c r="F17" s="24"/>
      <c r="G17" s="24"/>
      <c r="H17" s="24"/>
      <c r="I17" s="24"/>
      <c r="J17" s="24"/>
      <c r="K17" s="24"/>
      <c r="L17" s="24"/>
      <c r="M17" s="24"/>
      <c r="N17" s="24"/>
      <c r="O17" s="24"/>
      <c r="P17" s="24"/>
    </row>
    <row r="18" spans="1:16" ht="14.4">
      <c r="A18" s="24"/>
      <c r="B18" s="283"/>
      <c r="C18" s="284"/>
      <c r="D18" s="295"/>
      <c r="E18" s="296"/>
      <c r="F18" s="24"/>
      <c r="G18" s="24"/>
      <c r="H18" s="24"/>
      <c r="I18" s="24"/>
      <c r="J18" s="24"/>
      <c r="K18" s="24"/>
      <c r="L18" s="24"/>
      <c r="M18" s="24"/>
      <c r="N18" s="24"/>
      <c r="O18" s="24"/>
      <c r="P18" s="24"/>
    </row>
    <row r="19" spans="1:16" ht="19.8" customHeight="1">
      <c r="A19" s="24"/>
      <c r="B19" s="280"/>
      <c r="C19" s="285" t="s">
        <v>62</v>
      </c>
      <c r="D19" s="295"/>
      <c r="E19" s="24"/>
      <c r="F19" s="24"/>
      <c r="G19" s="24"/>
      <c r="H19" s="24"/>
      <c r="I19" s="24"/>
      <c r="J19" s="24"/>
      <c r="K19" s="24"/>
      <c r="L19" s="24"/>
      <c r="M19" s="24"/>
      <c r="N19" s="24"/>
      <c r="O19" s="24"/>
      <c r="P19" s="24"/>
    </row>
    <row r="20" spans="1:16" ht="12.75" customHeight="1" thickBot="1">
      <c r="A20" s="24"/>
      <c r="B20" s="298"/>
      <c r="C20" s="295"/>
      <c r="D20" s="295"/>
      <c r="E20" s="24"/>
      <c r="F20" s="24"/>
      <c r="G20" s="24"/>
      <c r="H20" s="24"/>
      <c r="I20" s="24"/>
      <c r="J20" s="24"/>
      <c r="K20" s="24"/>
      <c r="L20" s="24"/>
      <c r="M20" s="24"/>
      <c r="N20" s="24"/>
      <c r="O20" s="24"/>
      <c r="P20" s="24"/>
    </row>
    <row r="21" spans="1:16" ht="105.6" customHeight="1" thickBot="1">
      <c r="A21" s="24"/>
      <c r="B21" s="281" t="s">
        <v>112</v>
      </c>
      <c r="C21" s="282" t="s">
        <v>297</v>
      </c>
      <c r="D21" s="295"/>
      <c r="E21" s="54" t="s">
        <v>14</v>
      </c>
      <c r="F21" s="24"/>
      <c r="G21" s="24"/>
      <c r="H21" s="24"/>
      <c r="I21" s="24"/>
      <c r="J21" s="24"/>
      <c r="K21" s="24"/>
      <c r="L21" s="24"/>
      <c r="M21" s="24"/>
      <c r="N21" s="24"/>
      <c r="O21" s="24"/>
      <c r="P21" s="24"/>
    </row>
    <row r="22" spans="1:16" ht="16.2" thickBot="1">
      <c r="A22" s="24"/>
      <c r="B22" s="298"/>
      <c r="C22" s="299"/>
      <c r="D22" s="295"/>
      <c r="E22" s="24"/>
      <c r="F22" s="24"/>
      <c r="G22" s="24"/>
      <c r="H22" s="24"/>
      <c r="I22" s="24"/>
      <c r="J22" s="24"/>
      <c r="K22" s="24"/>
      <c r="L22" s="24"/>
      <c r="M22" s="24"/>
      <c r="N22" s="24"/>
      <c r="O22" s="24"/>
      <c r="P22" s="24"/>
    </row>
    <row r="23" spans="1:16" ht="79.8" customHeight="1" thickBot="1">
      <c r="A23" s="24"/>
      <c r="B23" s="281" t="s">
        <v>113</v>
      </c>
      <c r="C23" s="286" t="s">
        <v>277</v>
      </c>
      <c r="D23" s="295"/>
      <c r="E23" s="54" t="s">
        <v>75</v>
      </c>
      <c r="F23" s="24"/>
      <c r="G23" s="24"/>
      <c r="H23" s="24"/>
      <c r="I23" s="24"/>
      <c r="J23" s="24"/>
      <c r="K23" s="24"/>
      <c r="L23" s="24"/>
      <c r="M23" s="24"/>
      <c r="N23" s="24"/>
      <c r="O23" s="24"/>
      <c r="P23" s="24"/>
    </row>
    <row r="24" spans="1:16" ht="12.75" customHeight="1">
      <c r="A24" s="24"/>
      <c r="B24" s="297"/>
      <c r="C24" s="300"/>
      <c r="D24" s="295"/>
      <c r="E24" s="296"/>
      <c r="F24" s="24"/>
      <c r="G24" s="24"/>
      <c r="H24" s="24"/>
      <c r="I24" s="24"/>
      <c r="J24" s="24"/>
      <c r="K24" s="24"/>
      <c r="L24" s="24"/>
      <c r="M24" s="24"/>
      <c r="N24" s="24"/>
      <c r="O24" s="24"/>
      <c r="P24" s="24"/>
    </row>
    <row r="25" spans="1:16" ht="6" customHeight="1" thickBot="1">
      <c r="A25" s="24"/>
      <c r="B25" s="276"/>
      <c r="C25" s="277"/>
      <c r="D25" s="295"/>
      <c r="E25" s="24"/>
      <c r="F25" s="24"/>
      <c r="G25" s="24"/>
      <c r="H25" s="24"/>
      <c r="I25" s="24"/>
      <c r="J25" s="24"/>
      <c r="K25" s="24"/>
      <c r="L25" s="24"/>
      <c r="M25" s="24"/>
      <c r="N25" s="24"/>
      <c r="O25" s="24"/>
      <c r="P25" s="24"/>
    </row>
    <row r="26" spans="1:16" ht="25.5" customHeight="1" thickBot="1">
      <c r="A26" s="24"/>
      <c r="B26" s="287" t="s">
        <v>11</v>
      </c>
      <c r="C26" s="284" t="s">
        <v>51</v>
      </c>
      <c r="D26" s="295"/>
      <c r="E26" s="55" t="s">
        <v>15</v>
      </c>
      <c r="F26" s="24"/>
      <c r="G26" s="24"/>
      <c r="H26" s="24"/>
      <c r="I26" s="24"/>
      <c r="J26" s="24"/>
      <c r="K26" s="24"/>
      <c r="L26" s="24"/>
      <c r="M26" s="24"/>
      <c r="N26" s="24"/>
      <c r="O26" s="24"/>
      <c r="P26" s="24"/>
    </row>
    <row r="27" spans="1:16" ht="18.75" customHeight="1" thickBot="1">
      <c r="A27" s="24"/>
      <c r="B27" s="287"/>
      <c r="C27" s="378" t="s">
        <v>52</v>
      </c>
      <c r="D27" s="295"/>
      <c r="E27" s="296"/>
      <c r="F27" s="24"/>
      <c r="G27" s="24"/>
      <c r="H27" s="24"/>
      <c r="I27" s="24"/>
      <c r="J27" s="24"/>
      <c r="K27" s="24"/>
      <c r="L27" s="24"/>
      <c r="M27" s="24"/>
      <c r="N27" s="24"/>
      <c r="O27" s="24"/>
      <c r="P27" s="24"/>
    </row>
    <row r="28" spans="1:16" ht="33.6" customHeight="1" thickBot="1">
      <c r="A28" s="24"/>
      <c r="B28" s="283" t="s">
        <v>12</v>
      </c>
      <c r="C28" s="284" t="s">
        <v>18</v>
      </c>
      <c r="D28" s="295"/>
      <c r="E28" s="54" t="s">
        <v>16</v>
      </c>
      <c r="F28" s="24"/>
      <c r="G28" s="24"/>
      <c r="H28" s="24"/>
      <c r="I28" s="24"/>
      <c r="J28" s="24"/>
      <c r="K28" s="24"/>
      <c r="L28" s="24"/>
      <c r="M28" s="24"/>
      <c r="N28" s="24"/>
      <c r="O28" s="24"/>
      <c r="P28" s="24"/>
    </row>
    <row r="29" spans="1:16" ht="4.8" customHeight="1">
      <c r="A29" s="24"/>
      <c r="B29" s="283"/>
      <c r="C29" s="284"/>
      <c r="D29" s="295"/>
      <c r="E29" s="24"/>
      <c r="F29" s="24"/>
      <c r="G29" s="24"/>
      <c r="H29" s="24"/>
      <c r="I29" s="24"/>
      <c r="J29" s="24"/>
      <c r="K29" s="24"/>
      <c r="L29" s="24"/>
      <c r="M29" s="24"/>
      <c r="N29" s="24"/>
      <c r="O29" s="24"/>
      <c r="P29" s="24"/>
    </row>
    <row r="30" spans="1:16" ht="14.4">
      <c r="A30" s="24"/>
      <c r="B30" s="287" t="s">
        <v>13</v>
      </c>
      <c r="C30" s="378" t="s">
        <v>278</v>
      </c>
      <c r="D30" s="295"/>
      <c r="E30" s="24"/>
      <c r="F30" s="24"/>
      <c r="G30" s="24"/>
      <c r="H30" s="24"/>
      <c r="I30" s="24"/>
      <c r="J30" s="24"/>
      <c r="K30" s="24"/>
      <c r="L30" s="24"/>
      <c r="M30" s="24"/>
      <c r="N30" s="24"/>
      <c r="O30" s="24"/>
      <c r="P30" s="24"/>
    </row>
    <row r="31" spans="1:16" ht="14.4">
      <c r="A31" s="24"/>
      <c r="B31" s="288"/>
      <c r="C31" s="284" t="s">
        <v>279</v>
      </c>
      <c r="D31" s="295"/>
      <c r="E31" s="296"/>
      <c r="F31" s="24"/>
      <c r="G31" s="24"/>
      <c r="H31" s="24"/>
      <c r="I31" s="24"/>
      <c r="J31" s="24"/>
      <c r="K31" s="24"/>
      <c r="L31" s="24"/>
      <c r="M31" s="24"/>
      <c r="N31" s="24"/>
      <c r="O31" s="24"/>
      <c r="P31" s="24"/>
    </row>
    <row r="32" spans="1:16">
      <c r="A32" s="24"/>
      <c r="B32" s="289"/>
      <c r="C32" s="290"/>
      <c r="D32" s="25"/>
      <c r="E32" s="24"/>
      <c r="F32" s="24"/>
      <c r="G32" s="24"/>
      <c r="H32" s="24"/>
      <c r="I32" s="24"/>
      <c r="J32" s="24"/>
      <c r="K32" s="24"/>
      <c r="L32" s="24"/>
      <c r="M32" s="24"/>
      <c r="N32" s="24"/>
      <c r="O32" s="24"/>
      <c r="P32" s="24"/>
    </row>
    <row r="33" spans="1:16">
      <c r="A33" s="24"/>
      <c r="B33" s="294"/>
      <c r="C33" s="25"/>
      <c r="D33" s="25"/>
      <c r="E33" s="24"/>
      <c r="F33" s="24"/>
      <c r="G33" s="24"/>
      <c r="H33" s="24"/>
      <c r="I33" s="24"/>
      <c r="J33" s="24"/>
      <c r="K33" s="24"/>
      <c r="L33" s="24"/>
      <c r="M33" s="24"/>
      <c r="N33" s="24"/>
      <c r="O33" s="24"/>
      <c r="P33" s="24"/>
    </row>
    <row r="34" spans="1:16">
      <c r="A34" s="24"/>
      <c r="B34" s="24"/>
      <c r="C34" s="25"/>
      <c r="D34" s="25"/>
      <c r="E34" s="24"/>
      <c r="F34" s="24"/>
      <c r="G34" s="24"/>
      <c r="H34" s="24"/>
      <c r="I34" s="24"/>
      <c r="J34" s="24"/>
      <c r="K34" s="24"/>
      <c r="L34" s="24"/>
      <c r="M34" s="24"/>
      <c r="N34" s="24"/>
      <c r="O34" s="24"/>
      <c r="P34" s="24"/>
    </row>
    <row r="35" spans="1:16">
      <c r="A35" s="24"/>
      <c r="B35" s="24"/>
      <c r="C35" s="25"/>
      <c r="D35" s="25"/>
      <c r="E35" s="24"/>
      <c r="F35" s="24"/>
      <c r="G35" s="24"/>
      <c r="H35" s="24"/>
      <c r="I35" s="24"/>
      <c r="J35" s="24"/>
      <c r="K35" s="24"/>
      <c r="L35" s="24"/>
      <c r="M35" s="24"/>
      <c r="N35" s="24"/>
      <c r="O35" s="24"/>
      <c r="P35" s="24"/>
    </row>
    <row r="36" spans="1:16">
      <c r="A36" s="24"/>
      <c r="B36" s="24"/>
      <c r="C36" s="25"/>
      <c r="D36" s="25"/>
      <c r="E36" s="24"/>
      <c r="F36" s="24"/>
      <c r="G36" s="24"/>
      <c r="H36" s="24"/>
      <c r="I36" s="24"/>
      <c r="J36" s="24"/>
      <c r="K36" s="24"/>
      <c r="L36" s="24"/>
      <c r="M36" s="24"/>
      <c r="N36" s="24"/>
      <c r="O36" s="24"/>
      <c r="P36" s="24"/>
    </row>
    <row r="37" spans="1:16">
      <c r="A37" s="24"/>
      <c r="B37" s="24"/>
      <c r="C37" s="25"/>
      <c r="D37" s="25"/>
      <c r="E37" s="24"/>
      <c r="F37" s="24"/>
      <c r="G37" s="24"/>
      <c r="H37" s="24"/>
      <c r="I37" s="24"/>
      <c r="J37" s="24"/>
      <c r="K37" s="24"/>
      <c r="L37" s="24"/>
      <c r="M37" s="24"/>
      <c r="N37" s="24"/>
      <c r="O37" s="24"/>
      <c r="P37" s="24"/>
    </row>
    <row r="38" spans="1:16">
      <c r="A38" s="24"/>
      <c r="B38" s="24"/>
      <c r="C38" s="25"/>
      <c r="D38" s="25"/>
      <c r="E38" s="24"/>
      <c r="F38" s="24"/>
      <c r="G38" s="24"/>
      <c r="H38" s="24"/>
      <c r="I38" s="24"/>
      <c r="J38" s="24"/>
      <c r="K38" s="24"/>
      <c r="L38" s="24"/>
      <c r="M38" s="24"/>
      <c r="N38" s="24"/>
      <c r="O38" s="24"/>
      <c r="P38" s="24"/>
    </row>
    <row r="39" spans="1:16">
      <c r="A39" s="24"/>
      <c r="B39" s="24"/>
      <c r="C39" s="25"/>
      <c r="D39" s="25"/>
      <c r="E39" s="24"/>
      <c r="F39" s="24"/>
      <c r="G39" s="24"/>
      <c r="H39" s="24"/>
      <c r="I39" s="24"/>
      <c r="J39" s="24"/>
      <c r="K39" s="24"/>
      <c r="L39" s="24"/>
      <c r="M39" s="24"/>
      <c r="N39" s="24"/>
      <c r="O39" s="24"/>
      <c r="P39" s="24"/>
    </row>
    <row r="40" spans="1:16">
      <c r="A40" s="24"/>
      <c r="B40" s="24"/>
      <c r="C40" s="25"/>
      <c r="D40" s="25"/>
      <c r="E40" s="24"/>
      <c r="F40" s="24"/>
      <c r="G40" s="24"/>
      <c r="H40" s="24"/>
      <c r="I40" s="24"/>
      <c r="J40" s="24"/>
      <c r="K40" s="24"/>
      <c r="L40" s="24"/>
      <c r="M40" s="24"/>
      <c r="N40" s="24"/>
      <c r="O40" s="24"/>
      <c r="P40" s="24"/>
    </row>
    <row r="41" spans="1:16">
      <c r="A41" s="24"/>
      <c r="B41" s="24"/>
      <c r="C41" s="25"/>
      <c r="D41" s="25"/>
      <c r="E41" s="24"/>
      <c r="F41" s="24"/>
      <c r="G41" s="24"/>
      <c r="H41" s="24"/>
      <c r="I41" s="24"/>
      <c r="J41" s="24"/>
      <c r="K41" s="24"/>
      <c r="L41" s="24"/>
      <c r="M41" s="24"/>
      <c r="N41" s="24"/>
      <c r="O41" s="24"/>
      <c r="P41" s="24"/>
    </row>
    <row r="42" spans="1:16">
      <c r="A42" s="24"/>
      <c r="B42" s="24"/>
      <c r="C42" s="25"/>
      <c r="D42" s="25"/>
      <c r="E42" s="24"/>
      <c r="F42" s="24"/>
      <c r="G42" s="24"/>
      <c r="H42" s="24"/>
      <c r="I42" s="24"/>
      <c r="J42" s="24"/>
      <c r="K42" s="24"/>
      <c r="L42" s="24"/>
      <c r="M42" s="24"/>
      <c r="N42" s="24"/>
      <c r="O42" s="24"/>
      <c r="P42" s="24"/>
    </row>
    <row r="43" spans="1:16">
      <c r="A43" s="24"/>
      <c r="B43" s="24"/>
      <c r="C43" s="25"/>
      <c r="D43" s="25"/>
      <c r="E43" s="24"/>
      <c r="F43" s="24"/>
      <c r="G43" s="24"/>
      <c r="H43" s="24"/>
      <c r="I43" s="24"/>
      <c r="J43" s="24"/>
      <c r="K43" s="24"/>
      <c r="L43" s="24"/>
      <c r="M43" s="24"/>
      <c r="N43" s="24"/>
      <c r="O43" s="24"/>
      <c r="P43" s="24"/>
    </row>
    <row r="94" spans="3:4">
      <c r="C94" s="382" t="s">
        <v>209</v>
      </c>
      <c r="D94" s="383"/>
    </row>
    <row r="95" spans="3:4">
      <c r="C95" s="383"/>
      <c r="D95" s="383"/>
    </row>
    <row r="96" spans="3:4" ht="27.6">
      <c r="C96" s="384" t="s">
        <v>263</v>
      </c>
      <c r="D96" s="383"/>
    </row>
    <row r="97" spans="2:4">
      <c r="B97" s="13"/>
      <c r="C97" s="385"/>
      <c r="D97" s="383"/>
    </row>
    <row r="98" spans="2:4" ht="213" customHeight="1">
      <c r="B98" s="13"/>
      <c r="C98" s="386" t="s">
        <v>264</v>
      </c>
      <c r="D98" s="383"/>
    </row>
    <row r="99" spans="2:4">
      <c r="B99" s="13"/>
      <c r="C99" s="383"/>
      <c r="D99" s="383"/>
    </row>
    <row r="100" spans="2:4" ht="27.6">
      <c r="B100" s="13"/>
      <c r="C100" s="384" t="s">
        <v>283</v>
      </c>
      <c r="D100" s="383"/>
    </row>
    <row r="101" spans="2:4">
      <c r="B101" s="13"/>
      <c r="C101" s="381" t="s">
        <v>268</v>
      </c>
      <c r="D101" s="372"/>
    </row>
    <row r="102" spans="2:4">
      <c r="B102" s="13"/>
      <c r="C102" s="372"/>
      <c r="D102" s="372"/>
    </row>
    <row r="103" spans="2:4">
      <c r="B103" s="13"/>
    </row>
    <row r="104" spans="2:4">
      <c r="B104" s="13"/>
    </row>
    <row r="105" spans="2:4">
      <c r="B105" s="13"/>
    </row>
    <row r="106" spans="2:4">
      <c r="B106" s="13"/>
    </row>
    <row r="107" spans="2:4">
      <c r="B107" s="13"/>
    </row>
    <row r="108" spans="2:4">
      <c r="B108" s="13"/>
    </row>
    <row r="109" spans="2:4">
      <c r="B109" s="13"/>
    </row>
    <row r="110" spans="2:4">
      <c r="B110" s="13"/>
    </row>
    <row r="111" spans="2:4">
      <c r="B111" s="13"/>
    </row>
    <row r="112" spans="2:4">
      <c r="B112" s="13"/>
    </row>
    <row r="113" spans="2:2">
      <c r="B113" s="13"/>
    </row>
    <row r="114" spans="2:2">
      <c r="B114" s="13"/>
    </row>
    <row r="115" spans="2:2">
      <c r="B115" s="13"/>
    </row>
    <row r="116" spans="2:2">
      <c r="B116" s="13"/>
    </row>
    <row r="117" spans="2:2">
      <c r="B117" s="13"/>
    </row>
    <row r="118" spans="2:2">
      <c r="B118" s="13"/>
    </row>
    <row r="119" spans="2:2">
      <c r="B119" s="13"/>
    </row>
    <row r="120" spans="2:2">
      <c r="B120" s="13"/>
    </row>
    <row r="121" spans="2:2">
      <c r="B121" s="13"/>
    </row>
    <row r="122" spans="2:2">
      <c r="B122" s="13"/>
    </row>
    <row r="123" spans="2:2">
      <c r="B123" s="13"/>
    </row>
    <row r="124" spans="2:2">
      <c r="B124" s="13"/>
    </row>
    <row r="125" spans="2:2">
      <c r="B125" s="13"/>
    </row>
    <row r="126" spans="2:2">
      <c r="B126" s="13"/>
    </row>
    <row r="127" spans="2:2">
      <c r="B127" s="13"/>
    </row>
    <row r="128" spans="2:2">
      <c r="B128" s="13"/>
    </row>
    <row r="129" spans="2:2">
      <c r="B129" s="13"/>
    </row>
    <row r="130" spans="2:2">
      <c r="B130" s="13"/>
    </row>
    <row r="131" spans="2:2">
      <c r="B131" s="13"/>
    </row>
    <row r="132" spans="2:2">
      <c r="B132" s="13"/>
    </row>
    <row r="133" spans="2:2">
      <c r="B133" s="13"/>
    </row>
    <row r="134" spans="2:2">
      <c r="B134" s="13"/>
    </row>
    <row r="135" spans="2:2">
      <c r="B135" s="13"/>
    </row>
    <row r="136" spans="2:2">
      <c r="B136" s="13"/>
    </row>
    <row r="137" spans="2:2">
      <c r="B137" s="13"/>
    </row>
    <row r="138" spans="2:2">
      <c r="B138" s="13"/>
    </row>
    <row r="139" spans="2:2">
      <c r="B139" s="13"/>
    </row>
    <row r="140" spans="2:2">
      <c r="B140" s="13"/>
    </row>
    <row r="141" spans="2:2">
      <c r="B141" s="13"/>
    </row>
    <row r="142" spans="2:2">
      <c r="B142" s="13"/>
    </row>
    <row r="143" spans="2:2">
      <c r="B143" s="13"/>
    </row>
    <row r="144" spans="2:2">
      <c r="B144" s="13"/>
    </row>
    <row r="145" spans="2:2">
      <c r="B145" s="13"/>
    </row>
    <row r="146" spans="2:2">
      <c r="B146" s="13"/>
    </row>
    <row r="147" spans="2:2">
      <c r="B147" s="13"/>
    </row>
    <row r="148" spans="2:2">
      <c r="B148" s="13"/>
    </row>
    <row r="149" spans="2:2">
      <c r="B149" s="13"/>
    </row>
    <row r="150" spans="2:2">
      <c r="B150" s="13"/>
    </row>
    <row r="151" spans="2:2">
      <c r="B151" s="13"/>
    </row>
    <row r="152" spans="2:2">
      <c r="B152" s="13"/>
    </row>
    <row r="153" spans="2:2">
      <c r="B153" s="13"/>
    </row>
    <row r="154" spans="2:2">
      <c r="B154" s="13"/>
    </row>
    <row r="155" spans="2:2">
      <c r="B155" s="13"/>
    </row>
    <row r="156" spans="2:2">
      <c r="B156" s="13"/>
    </row>
    <row r="157" spans="2:2">
      <c r="B157" s="13"/>
    </row>
    <row r="158" spans="2:2">
      <c r="B158" s="13"/>
    </row>
    <row r="159" spans="2:2">
      <c r="B159" s="13"/>
    </row>
    <row r="160" spans="2:2">
      <c r="B160" s="13"/>
    </row>
    <row r="161" spans="2:4">
      <c r="B161" s="13"/>
    </row>
    <row r="162" spans="2:4">
      <c r="B162" s="13"/>
    </row>
    <row r="163" spans="2:4">
      <c r="B163" s="13"/>
    </row>
    <row r="164" spans="2:4">
      <c r="B164" s="13"/>
    </row>
    <row r="165" spans="2:4">
      <c r="B165" s="13"/>
      <c r="C165" s="369" t="s">
        <v>209</v>
      </c>
      <c r="D165" s="25"/>
    </row>
    <row r="166" spans="2:4">
      <c r="B166" s="13"/>
      <c r="C166" s="25"/>
      <c r="D166" s="25"/>
    </row>
    <row r="167" spans="2:4" ht="27.6">
      <c r="B167" s="13"/>
      <c r="C167" s="234" t="s">
        <v>263</v>
      </c>
      <c r="D167" s="25"/>
    </row>
    <row r="168" spans="2:4">
      <c r="B168" s="13"/>
      <c r="C168" s="24"/>
      <c r="D168" s="25"/>
    </row>
    <row r="169" spans="2:4" ht="204.6" customHeight="1">
      <c r="B169" s="13"/>
      <c r="C169" s="235" t="s">
        <v>264</v>
      </c>
      <c r="D169" s="25"/>
    </row>
    <row r="170" spans="2:4">
      <c r="B170" s="13"/>
      <c r="C170" s="25"/>
      <c r="D170" s="25"/>
    </row>
    <row r="171" spans="2:4" ht="33" customHeight="1">
      <c r="B171" s="13"/>
      <c r="C171" s="234" t="s">
        <v>283</v>
      </c>
      <c r="D171" s="25"/>
    </row>
    <row r="172" spans="2:4">
      <c r="B172" s="13"/>
      <c r="C172" s="370" t="s">
        <v>268</v>
      </c>
      <c r="D172" s="25"/>
    </row>
    <row r="173" spans="2:4">
      <c r="B173" s="13"/>
      <c r="C173" s="25"/>
      <c r="D173" s="25"/>
    </row>
    <row r="174" spans="2:4">
      <c r="B174" s="13"/>
      <c r="C174" s="25"/>
      <c r="D174" s="25"/>
    </row>
    <row r="175" spans="2:4">
      <c r="B175" s="13"/>
      <c r="C175" s="25"/>
      <c r="D175" s="25"/>
    </row>
    <row r="176" spans="2:4">
      <c r="C176" s="369" t="s">
        <v>265</v>
      </c>
      <c r="D176" s="25"/>
    </row>
    <row r="177" spans="3:4">
      <c r="C177" s="369"/>
      <c r="D177" s="25"/>
    </row>
    <row r="178" spans="3:4" ht="69">
      <c r="C178" s="234" t="s">
        <v>266</v>
      </c>
      <c r="D178" s="25"/>
    </row>
    <row r="179" spans="3:4" ht="39.6" customHeight="1">
      <c r="C179" s="234" t="s">
        <v>267</v>
      </c>
      <c r="D179" s="25"/>
    </row>
    <row r="180" spans="3:4">
      <c r="C180" s="234"/>
      <c r="D180" s="25"/>
    </row>
    <row r="223" spans="2:4">
      <c r="B223" s="387"/>
      <c r="C223" s="388" t="s">
        <v>275</v>
      </c>
      <c r="D223" s="389"/>
    </row>
    <row r="224" spans="2:4">
      <c r="B224" s="387"/>
      <c r="C224" s="388"/>
      <c r="D224" s="389"/>
    </row>
    <row r="225" spans="1:4">
      <c r="A225" s="65"/>
      <c r="B225" s="371" t="s">
        <v>120</v>
      </c>
      <c r="C225" s="390" t="s">
        <v>41</v>
      </c>
      <c r="D225" s="389"/>
    </row>
    <row r="226" spans="1:4">
      <c r="A226" s="65"/>
      <c r="B226" s="371"/>
      <c r="C226" s="391"/>
      <c r="D226" s="389"/>
    </row>
    <row r="227" spans="1:4" ht="34.799999999999997" customHeight="1">
      <c r="A227" s="65"/>
      <c r="B227" s="371"/>
      <c r="C227" s="392" t="s">
        <v>269</v>
      </c>
      <c r="D227" s="389"/>
    </row>
    <row r="228" spans="1:4">
      <c r="B228" s="371"/>
      <c r="C228" s="389"/>
      <c r="D228" s="389"/>
    </row>
    <row r="229" spans="1:4">
      <c r="B229" s="371" t="s">
        <v>117</v>
      </c>
      <c r="C229" s="390" t="s">
        <v>0</v>
      </c>
      <c r="D229" s="389"/>
    </row>
    <row r="230" spans="1:4">
      <c r="B230" s="371"/>
      <c r="C230" s="391"/>
      <c r="D230" s="389"/>
    </row>
    <row r="231" spans="1:4" ht="41.4">
      <c r="B231" s="371"/>
      <c r="C231" s="392" t="s">
        <v>270</v>
      </c>
      <c r="D231" s="389"/>
    </row>
    <row r="232" spans="1:4">
      <c r="B232" s="371"/>
      <c r="C232" s="391"/>
      <c r="D232" s="389"/>
    </row>
    <row r="233" spans="1:4" ht="27.6">
      <c r="B233" s="371"/>
      <c r="C233" s="392" t="s">
        <v>271</v>
      </c>
      <c r="D233" s="389"/>
    </row>
    <row r="234" spans="1:4">
      <c r="B234" s="371"/>
      <c r="C234" s="392"/>
      <c r="D234" s="389"/>
    </row>
    <row r="235" spans="1:4">
      <c r="A235" s="65"/>
      <c r="B235" s="371" t="s">
        <v>121</v>
      </c>
      <c r="C235" s="390" t="s">
        <v>38</v>
      </c>
      <c r="D235" s="389"/>
    </row>
    <row r="236" spans="1:4">
      <c r="B236" s="371"/>
      <c r="C236" s="391"/>
      <c r="D236" s="389"/>
    </row>
    <row r="237" spans="1:4" ht="82.8">
      <c r="B237" s="371"/>
      <c r="C237" s="392" t="s">
        <v>261</v>
      </c>
      <c r="D237" s="389"/>
    </row>
    <row r="238" spans="1:4">
      <c r="B238" s="371"/>
      <c r="C238" s="393"/>
      <c r="D238" s="389"/>
    </row>
    <row r="239" spans="1:4">
      <c r="A239" s="65"/>
      <c r="B239" s="371" t="s">
        <v>119</v>
      </c>
      <c r="C239" s="390" t="s">
        <v>65</v>
      </c>
      <c r="D239" s="389"/>
    </row>
    <row r="240" spans="1:4">
      <c r="B240" s="371"/>
      <c r="C240" s="391"/>
      <c r="D240" s="389"/>
    </row>
    <row r="241" spans="1:4" ht="41.4">
      <c r="B241" s="371"/>
      <c r="C241" s="394" t="s">
        <v>262</v>
      </c>
      <c r="D241" s="389"/>
    </row>
    <row r="242" spans="1:4">
      <c r="B242" s="371"/>
      <c r="C242" s="394"/>
      <c r="D242" s="389"/>
    </row>
    <row r="243" spans="1:4">
      <c r="B243" s="371" t="s">
        <v>115</v>
      </c>
      <c r="C243" s="395" t="s">
        <v>353</v>
      </c>
      <c r="D243" s="389"/>
    </row>
    <row r="244" spans="1:4">
      <c r="B244" s="371"/>
      <c r="C244" s="395"/>
      <c r="D244" s="389"/>
    </row>
    <row r="245" spans="1:4">
      <c r="A245" s="65"/>
      <c r="B245" s="371"/>
      <c r="C245" s="394"/>
      <c r="D245" s="389"/>
    </row>
    <row r="246" spans="1:4">
      <c r="A246" s="65"/>
      <c r="B246" s="371"/>
      <c r="C246" s="394"/>
      <c r="D246" s="389"/>
    </row>
    <row r="247" spans="1:4">
      <c r="A247" s="65"/>
      <c r="B247" s="371" t="s">
        <v>123</v>
      </c>
      <c r="C247" s="395" t="s">
        <v>353</v>
      </c>
      <c r="D247" s="389"/>
    </row>
    <row r="248" spans="1:4">
      <c r="A248" s="65"/>
      <c r="B248" s="371"/>
      <c r="C248" s="391"/>
      <c r="D248" s="389"/>
    </row>
    <row r="249" spans="1:4">
      <c r="B249" s="371"/>
      <c r="C249" s="392"/>
      <c r="D249" s="389"/>
    </row>
    <row r="250" spans="1:4">
      <c r="B250" s="371"/>
      <c r="C250" s="391"/>
      <c r="D250" s="389"/>
    </row>
    <row r="251" spans="1:4">
      <c r="A251" s="65"/>
      <c r="B251" s="371" t="s">
        <v>124</v>
      </c>
      <c r="C251" s="390" t="s">
        <v>20</v>
      </c>
      <c r="D251" s="389"/>
    </row>
    <row r="252" spans="1:4">
      <c r="B252" s="371"/>
      <c r="C252" s="391"/>
      <c r="D252" s="389"/>
    </row>
    <row r="253" spans="1:4" ht="55.2">
      <c r="B253" s="371"/>
      <c r="C253" s="392" t="s">
        <v>272</v>
      </c>
      <c r="D253" s="389"/>
    </row>
    <row r="254" spans="1:4">
      <c r="B254" s="371"/>
      <c r="C254" s="391"/>
      <c r="D254" s="389"/>
    </row>
    <row r="255" spans="1:4">
      <c r="A255" s="65"/>
      <c r="B255" s="371" t="s">
        <v>125</v>
      </c>
      <c r="C255" s="390" t="s">
        <v>69</v>
      </c>
      <c r="D255" s="389"/>
    </row>
    <row r="256" spans="1:4">
      <c r="B256" s="371"/>
      <c r="C256" s="391"/>
      <c r="D256" s="389"/>
    </row>
    <row r="257" spans="1:4" ht="55.2">
      <c r="B257" s="371"/>
      <c r="C257" s="392" t="s">
        <v>197</v>
      </c>
      <c r="D257" s="389"/>
    </row>
    <row r="258" spans="1:4">
      <c r="B258" s="371"/>
      <c r="C258" s="391"/>
      <c r="D258" s="389"/>
    </row>
    <row r="259" spans="1:4">
      <c r="A259" s="65"/>
      <c r="B259" s="371" t="s">
        <v>126</v>
      </c>
      <c r="C259" s="395" t="s">
        <v>353</v>
      </c>
      <c r="D259" s="389"/>
    </row>
    <row r="260" spans="1:4">
      <c r="A260" s="65"/>
      <c r="B260" s="371"/>
      <c r="C260" s="391"/>
      <c r="D260" s="389"/>
    </row>
    <row r="261" spans="1:4">
      <c r="A261" s="65"/>
      <c r="B261" s="371"/>
      <c r="C261" s="392"/>
      <c r="D261" s="389"/>
    </row>
    <row r="262" spans="1:4">
      <c r="A262" s="65"/>
      <c r="B262" s="371"/>
      <c r="C262" s="392"/>
      <c r="D262" s="389"/>
    </row>
    <row r="263" spans="1:4">
      <c r="A263" s="65"/>
      <c r="B263" s="371" t="s">
        <v>127</v>
      </c>
      <c r="C263" s="395" t="s">
        <v>353</v>
      </c>
      <c r="D263" s="389"/>
    </row>
    <row r="264" spans="1:4">
      <c r="B264" s="371"/>
      <c r="C264" s="391"/>
      <c r="D264" s="389"/>
    </row>
    <row r="265" spans="1:4">
      <c r="B265" s="371"/>
      <c r="C265" s="392"/>
      <c r="D265" s="389"/>
    </row>
    <row r="266" spans="1:4">
      <c r="B266" s="371"/>
      <c r="C266" s="391"/>
      <c r="D266" s="389"/>
    </row>
    <row r="267" spans="1:4">
      <c r="A267" s="65"/>
      <c r="B267" s="371" t="s">
        <v>129</v>
      </c>
      <c r="C267" s="395" t="s">
        <v>353</v>
      </c>
      <c r="D267" s="389"/>
    </row>
    <row r="268" spans="1:4">
      <c r="A268" s="65"/>
      <c r="B268" s="371"/>
      <c r="C268" s="391"/>
      <c r="D268" s="389"/>
    </row>
    <row r="269" spans="1:4" ht="31.8" customHeight="1">
      <c r="A269" s="65"/>
      <c r="B269" s="371"/>
      <c r="C269" s="392"/>
      <c r="D269" s="389"/>
    </row>
    <row r="270" spans="1:4" ht="13.8" customHeight="1">
      <c r="A270" s="65"/>
      <c r="B270" s="371"/>
      <c r="C270" s="392"/>
      <c r="D270" s="389"/>
    </row>
    <row r="271" spans="1:4" ht="14.4" customHeight="1">
      <c r="A271" s="65"/>
      <c r="B271" s="371" t="s">
        <v>133</v>
      </c>
      <c r="C271" s="395" t="s">
        <v>353</v>
      </c>
      <c r="D271" s="389"/>
    </row>
    <row r="272" spans="1:4" ht="13.8" customHeight="1">
      <c r="A272" s="65"/>
      <c r="B272" s="371"/>
      <c r="C272" s="392"/>
      <c r="D272" s="389"/>
    </row>
    <row r="273" spans="1:4" ht="157.80000000000001" customHeight="1">
      <c r="A273" s="65"/>
      <c r="B273" s="371"/>
      <c r="C273" s="447"/>
      <c r="D273" s="389"/>
    </row>
    <row r="274" spans="1:4">
      <c r="A274" s="65"/>
      <c r="B274" s="371"/>
      <c r="C274" s="396"/>
      <c r="D274" s="389"/>
    </row>
    <row r="275" spans="1:4">
      <c r="A275" s="65"/>
      <c r="B275" s="371" t="s">
        <v>134</v>
      </c>
      <c r="C275" s="390" t="s">
        <v>68</v>
      </c>
      <c r="D275" s="389"/>
    </row>
    <row r="276" spans="1:4">
      <c r="B276" s="371"/>
      <c r="C276" s="392"/>
      <c r="D276" s="389"/>
    </row>
    <row r="277" spans="1:4" ht="55.2">
      <c r="B277" s="371"/>
      <c r="C277" s="392" t="s">
        <v>284</v>
      </c>
      <c r="D277" s="389"/>
    </row>
    <row r="278" spans="1:4">
      <c r="B278" s="371"/>
      <c r="C278" s="392"/>
      <c r="D278" s="389"/>
    </row>
    <row r="279" spans="1:4">
      <c r="A279" s="65"/>
      <c r="B279" s="371" t="s">
        <v>135</v>
      </c>
      <c r="C279" s="395" t="s">
        <v>353</v>
      </c>
      <c r="D279" s="389"/>
    </row>
    <row r="280" spans="1:4">
      <c r="A280" s="65"/>
      <c r="B280" s="371"/>
      <c r="C280" s="390"/>
      <c r="D280" s="389"/>
    </row>
    <row r="281" spans="1:4" ht="102.6" customHeight="1">
      <c r="B281" s="371"/>
      <c r="C281" s="392"/>
      <c r="D281" s="389"/>
    </row>
    <row r="282" spans="1:4">
      <c r="B282" s="371"/>
      <c r="C282" s="392"/>
      <c r="D282" s="389"/>
    </row>
    <row r="283" spans="1:4">
      <c r="A283" s="65"/>
      <c r="B283" s="371" t="s">
        <v>137</v>
      </c>
      <c r="C283" s="395" t="s">
        <v>353</v>
      </c>
      <c r="D283" s="389"/>
    </row>
    <row r="284" spans="1:4">
      <c r="B284" s="371"/>
      <c r="C284" s="392"/>
      <c r="D284" s="389"/>
    </row>
    <row r="285" spans="1:4" ht="169.2" customHeight="1">
      <c r="B285" s="371"/>
      <c r="C285" s="392"/>
      <c r="D285" s="389"/>
    </row>
    <row r="286" spans="1:4">
      <c r="B286" s="371"/>
      <c r="C286" s="392"/>
      <c r="D286" s="389"/>
    </row>
    <row r="287" spans="1:4">
      <c r="B287" s="371" t="s">
        <v>138</v>
      </c>
      <c r="C287" s="479" t="s">
        <v>316</v>
      </c>
      <c r="D287" s="389"/>
    </row>
    <row r="288" spans="1:4">
      <c r="B288" s="371"/>
      <c r="C288" s="448"/>
      <c r="D288" s="389"/>
    </row>
    <row r="289" spans="2:4" ht="73.2" customHeight="1">
      <c r="B289" s="371"/>
      <c r="C289" s="392" t="s">
        <v>333</v>
      </c>
      <c r="D289" s="389"/>
    </row>
    <row r="290" spans="2:4">
      <c r="B290" s="371"/>
      <c r="C290" s="448"/>
      <c r="D290" s="389"/>
    </row>
    <row r="291" spans="2:4">
      <c r="B291" s="371" t="s">
        <v>170</v>
      </c>
      <c r="C291" s="395" t="s">
        <v>353</v>
      </c>
      <c r="D291" s="389"/>
    </row>
    <row r="292" spans="2:4">
      <c r="B292" s="371"/>
      <c r="C292" s="392"/>
      <c r="D292" s="389"/>
    </row>
    <row r="293" spans="2:4">
      <c r="B293" s="371"/>
      <c r="C293" s="392"/>
      <c r="D293" s="389"/>
    </row>
    <row r="294" spans="2:4">
      <c r="B294" s="371"/>
      <c r="C294" s="392"/>
      <c r="D294" s="389"/>
    </row>
    <row r="295" spans="2:4">
      <c r="B295" s="371" t="s">
        <v>171</v>
      </c>
      <c r="C295" s="395" t="s">
        <v>353</v>
      </c>
      <c r="D295" s="389"/>
    </row>
    <row r="296" spans="2:4">
      <c r="B296" s="371"/>
      <c r="C296" s="392"/>
      <c r="D296" s="389"/>
    </row>
    <row r="297" spans="2:4" ht="132.6" customHeight="1">
      <c r="B297" s="371"/>
      <c r="C297" s="392"/>
      <c r="D297" s="389"/>
    </row>
    <row r="298" spans="2:4">
      <c r="B298" s="371"/>
      <c r="C298" s="392"/>
      <c r="D298" s="389"/>
    </row>
    <row r="299" spans="2:4">
      <c r="B299" s="371" t="s">
        <v>319</v>
      </c>
      <c r="C299" s="395" t="s">
        <v>353</v>
      </c>
      <c r="D299" s="389"/>
    </row>
    <row r="300" spans="2:4">
      <c r="B300" s="371"/>
      <c r="C300" s="392"/>
      <c r="D300" s="389"/>
    </row>
    <row r="301" spans="2:4" ht="174" customHeight="1">
      <c r="B301" s="371"/>
      <c r="C301" s="392"/>
      <c r="D301" s="389"/>
    </row>
    <row r="302" spans="2:4">
      <c r="B302" s="371"/>
      <c r="C302" s="392"/>
      <c r="D302" s="389"/>
    </row>
    <row r="303" spans="2:4">
      <c r="B303" s="371" t="s">
        <v>331</v>
      </c>
      <c r="C303" s="390" t="s">
        <v>273</v>
      </c>
      <c r="D303" s="389"/>
    </row>
    <row r="304" spans="2:4">
      <c r="B304" s="371"/>
      <c r="C304" s="391"/>
      <c r="D304" s="389"/>
    </row>
    <row r="305" spans="2:4" ht="45.6" customHeight="1">
      <c r="B305" s="371"/>
      <c r="C305" s="392" t="s">
        <v>334</v>
      </c>
      <c r="D305" s="389"/>
    </row>
    <row r="306" spans="2:4">
      <c r="B306" s="371"/>
      <c r="C306" s="389"/>
      <c r="D306" s="389"/>
    </row>
    <row r="307" spans="2:4">
      <c r="B307" s="448"/>
      <c r="C307" s="469"/>
      <c r="D307" s="469"/>
    </row>
    <row r="308" spans="2:4">
      <c r="B308" s="448"/>
      <c r="C308" s="469"/>
      <c r="D308" s="469"/>
    </row>
    <row r="309" spans="2:4">
      <c r="B309" s="448"/>
      <c r="C309" s="469"/>
      <c r="D309" s="469"/>
    </row>
    <row r="310" spans="2:4">
      <c r="B310" s="448"/>
      <c r="C310" s="469"/>
      <c r="D310" s="469"/>
    </row>
    <row r="311" spans="2:4">
      <c r="B311" s="448"/>
      <c r="C311" s="469"/>
      <c r="D311" s="469"/>
    </row>
    <row r="312" spans="2:4">
      <c r="B312" s="448"/>
      <c r="C312" s="469"/>
      <c r="D312" s="469"/>
    </row>
    <row r="313" spans="2:4">
      <c r="B313" s="448"/>
      <c r="C313" s="469"/>
      <c r="D313" s="469"/>
    </row>
    <row r="314" spans="2:4">
      <c r="B314" s="448"/>
      <c r="C314" s="469"/>
      <c r="D314" s="469"/>
    </row>
    <row r="315" spans="2:4">
      <c r="B315" s="448"/>
      <c r="C315" s="469"/>
      <c r="D315" s="469"/>
    </row>
    <row r="316" spans="2:4">
      <c r="B316" s="448"/>
      <c r="C316" s="469"/>
      <c r="D316" s="469"/>
    </row>
    <row r="317" spans="2:4">
      <c r="B317" s="448"/>
      <c r="C317" s="469"/>
      <c r="D317" s="469"/>
    </row>
    <row r="318" spans="2:4">
      <c r="B318" s="448"/>
      <c r="C318" s="469"/>
      <c r="D318" s="469"/>
    </row>
    <row r="319" spans="2:4">
      <c r="B319" s="448"/>
      <c r="C319" s="469"/>
      <c r="D319" s="469"/>
    </row>
    <row r="320" spans="2:4">
      <c r="B320" s="448"/>
      <c r="C320" s="469"/>
      <c r="D320" s="469"/>
    </row>
    <row r="321" spans="2:4">
      <c r="B321" s="448"/>
      <c r="C321" s="469"/>
      <c r="D321" s="469"/>
    </row>
    <row r="322" spans="2:4">
      <c r="B322" s="448"/>
      <c r="C322" s="469"/>
      <c r="D322" s="469"/>
    </row>
    <row r="323" spans="2:4">
      <c r="B323" s="448"/>
      <c r="C323" s="469"/>
      <c r="D323" s="469"/>
    </row>
    <row r="324" spans="2:4">
      <c r="B324" s="448"/>
      <c r="C324" s="469"/>
      <c r="D324" s="469"/>
    </row>
    <row r="325" spans="2:4">
      <c r="B325" s="448"/>
      <c r="C325" s="469"/>
      <c r="D325" s="469"/>
    </row>
    <row r="326" spans="2:4">
      <c r="B326" s="448"/>
      <c r="C326" s="469"/>
      <c r="D326" s="469"/>
    </row>
    <row r="327" spans="2:4">
      <c r="B327" s="448"/>
      <c r="C327" s="469"/>
      <c r="D327" s="469"/>
    </row>
    <row r="328" spans="2:4">
      <c r="B328" s="448"/>
      <c r="C328" s="469"/>
      <c r="D328" s="469"/>
    </row>
    <row r="329" spans="2:4">
      <c r="B329" s="448"/>
      <c r="C329" s="469"/>
      <c r="D329" s="469"/>
    </row>
    <row r="330" spans="2:4">
      <c r="B330" s="448"/>
      <c r="C330" s="469"/>
      <c r="D330" s="469"/>
    </row>
    <row r="331" spans="2:4">
      <c r="B331" s="448"/>
      <c r="C331" s="469"/>
      <c r="D331" s="469"/>
    </row>
    <row r="334" spans="2:4">
      <c r="B334" s="397"/>
      <c r="C334" s="398" t="s">
        <v>274</v>
      </c>
      <c r="D334" s="399"/>
    </row>
    <row r="335" spans="2:4">
      <c r="B335" s="397"/>
      <c r="C335" s="399"/>
      <c r="D335" s="399"/>
    </row>
    <row r="336" spans="2:4">
      <c r="B336" s="400" t="s">
        <v>139</v>
      </c>
      <c r="C336" s="398" t="s">
        <v>87</v>
      </c>
      <c r="D336" s="399"/>
    </row>
    <row r="337" spans="1:4">
      <c r="B337" s="400"/>
      <c r="C337" s="399"/>
      <c r="D337" s="399"/>
    </row>
    <row r="338" spans="1:4" ht="69">
      <c r="B338" s="400"/>
      <c r="C338" s="401" t="s">
        <v>276</v>
      </c>
      <c r="D338" s="399"/>
    </row>
    <row r="339" spans="1:4">
      <c r="A339" s="373"/>
      <c r="B339" s="400"/>
      <c r="C339" s="401"/>
      <c r="D339" s="399"/>
    </row>
    <row r="340" spans="1:4">
      <c r="A340" s="65"/>
      <c r="B340" s="400" t="s">
        <v>141</v>
      </c>
      <c r="C340" s="376" t="s">
        <v>353</v>
      </c>
      <c r="D340" s="399"/>
    </row>
    <row r="341" spans="1:4">
      <c r="A341" s="65"/>
      <c r="B341" s="400"/>
      <c r="C341" s="377"/>
      <c r="D341" s="399"/>
    </row>
    <row r="342" spans="1:4">
      <c r="B342" s="400"/>
      <c r="C342" s="374"/>
      <c r="D342" s="399"/>
    </row>
    <row r="343" spans="1:4">
      <c r="A343" s="65"/>
      <c r="B343" s="400"/>
      <c r="C343" s="377"/>
      <c r="D343" s="399"/>
    </row>
    <row r="344" spans="1:4" ht="14.4" customHeight="1">
      <c r="A344" s="65"/>
      <c r="B344" s="400" t="s">
        <v>140</v>
      </c>
      <c r="C344" s="376" t="s">
        <v>353</v>
      </c>
      <c r="D344" s="399"/>
    </row>
    <row r="345" spans="1:4">
      <c r="B345" s="400"/>
      <c r="C345" s="377"/>
      <c r="D345" s="399"/>
    </row>
    <row r="346" spans="1:4">
      <c r="B346" s="400"/>
      <c r="C346" s="374"/>
      <c r="D346" s="399"/>
    </row>
    <row r="347" spans="1:4">
      <c r="B347" s="400"/>
      <c r="C347" s="377"/>
      <c r="D347" s="399"/>
    </row>
    <row r="348" spans="1:4" ht="13.2" customHeight="1">
      <c r="A348" s="65"/>
      <c r="B348" s="400" t="s">
        <v>143</v>
      </c>
      <c r="C348" s="376" t="s">
        <v>353</v>
      </c>
      <c r="D348" s="399"/>
    </row>
    <row r="349" spans="1:4">
      <c r="B349" s="400"/>
      <c r="C349" s="377"/>
      <c r="D349" s="399"/>
    </row>
    <row r="350" spans="1:4">
      <c r="B350" s="400"/>
      <c r="C350" s="374"/>
      <c r="D350" s="399"/>
    </row>
    <row r="351" spans="1:4">
      <c r="B351" s="400"/>
      <c r="C351" s="377"/>
      <c r="D351" s="399"/>
    </row>
    <row r="352" spans="1:4">
      <c r="A352" s="65"/>
      <c r="B352" s="400" t="s">
        <v>144</v>
      </c>
      <c r="C352" s="376" t="s">
        <v>198</v>
      </c>
      <c r="D352" s="399"/>
    </row>
    <row r="353" spans="1:4">
      <c r="B353" s="400"/>
      <c r="C353" s="377"/>
      <c r="D353" s="399"/>
    </row>
    <row r="354" spans="1:4" ht="14.4">
      <c r="B354" s="400"/>
      <c r="C354" s="374" t="s">
        <v>285</v>
      </c>
      <c r="D354" s="399"/>
    </row>
    <row r="355" spans="1:4">
      <c r="B355" s="400"/>
      <c r="C355" s="377"/>
      <c r="D355" s="399"/>
    </row>
    <row r="356" spans="1:4" ht="125.4">
      <c r="B356" s="400"/>
      <c r="C356" s="402" t="s">
        <v>286</v>
      </c>
      <c r="D356" s="399"/>
    </row>
    <row r="357" spans="1:4">
      <c r="B357" s="400"/>
      <c r="C357" s="377"/>
      <c r="D357" s="399"/>
    </row>
    <row r="358" spans="1:4">
      <c r="A358" s="65"/>
      <c r="B358" s="400" t="s">
        <v>145</v>
      </c>
      <c r="C358" s="376" t="s">
        <v>353</v>
      </c>
      <c r="D358" s="399"/>
    </row>
    <row r="359" spans="1:4">
      <c r="B359" s="400"/>
      <c r="C359" s="377"/>
      <c r="D359" s="399"/>
    </row>
    <row r="360" spans="1:4">
      <c r="B360" s="400"/>
      <c r="C360" s="402"/>
      <c r="D360" s="399"/>
    </row>
    <row r="361" spans="1:4">
      <c r="B361" s="400"/>
      <c r="C361" s="377"/>
      <c r="D361" s="399"/>
    </row>
    <row r="362" spans="1:4">
      <c r="B362" s="400"/>
      <c r="C362" s="377"/>
      <c r="D362" s="399"/>
    </row>
    <row r="363" spans="1:4">
      <c r="A363" s="65"/>
      <c r="B363" s="400" t="s">
        <v>146</v>
      </c>
      <c r="C363" s="376" t="s">
        <v>353</v>
      </c>
      <c r="D363" s="399"/>
    </row>
    <row r="364" spans="1:4">
      <c r="B364" s="400"/>
      <c r="C364" s="377"/>
      <c r="D364" s="399"/>
    </row>
    <row r="365" spans="1:4">
      <c r="B365" s="400"/>
      <c r="C365" s="402"/>
      <c r="D365" s="399"/>
    </row>
    <row r="366" spans="1:4">
      <c r="B366" s="400"/>
      <c r="C366" s="377"/>
      <c r="D366" s="399"/>
    </row>
    <row r="367" spans="1:4">
      <c r="B367" s="400" t="s">
        <v>147</v>
      </c>
      <c r="C367" s="376" t="s">
        <v>353</v>
      </c>
      <c r="D367" s="399"/>
    </row>
    <row r="368" spans="1:4">
      <c r="A368" s="65"/>
      <c r="B368" s="397"/>
      <c r="C368" s="377"/>
      <c r="D368" s="399"/>
    </row>
    <row r="369" spans="1:4" ht="89.4" customHeight="1">
      <c r="A369" s="373"/>
      <c r="B369" s="400"/>
      <c r="C369" s="404"/>
      <c r="D369" s="399"/>
    </row>
    <row r="370" spans="1:4">
      <c r="B370" s="400"/>
      <c r="C370" s="377"/>
      <c r="D370" s="399"/>
    </row>
    <row r="371" spans="1:4">
      <c r="B371" s="400" t="s">
        <v>148</v>
      </c>
      <c r="C371" s="376" t="s">
        <v>353</v>
      </c>
      <c r="D371" s="399"/>
    </row>
    <row r="372" spans="1:4">
      <c r="B372" s="400"/>
      <c r="C372" s="377"/>
      <c r="D372" s="399"/>
    </row>
    <row r="373" spans="1:4">
      <c r="B373" s="400"/>
      <c r="C373" s="374"/>
      <c r="D373" s="399"/>
    </row>
    <row r="374" spans="1:4">
      <c r="A374" s="65"/>
      <c r="B374" s="400"/>
      <c r="C374" s="377"/>
      <c r="D374" s="399"/>
    </row>
    <row r="375" spans="1:4">
      <c r="A375" s="65"/>
      <c r="B375" s="400" t="s">
        <v>150</v>
      </c>
      <c r="C375" s="403" t="s">
        <v>93</v>
      </c>
      <c r="D375" s="399"/>
    </row>
    <row r="376" spans="1:4">
      <c r="A376" s="65"/>
      <c r="B376" s="400"/>
      <c r="C376" s="377"/>
      <c r="D376" s="399"/>
    </row>
    <row r="377" spans="1:4" ht="96.6">
      <c r="A377" s="65"/>
      <c r="B377" s="400"/>
      <c r="C377" s="404" t="s">
        <v>314</v>
      </c>
      <c r="D377" s="399"/>
    </row>
    <row r="378" spans="1:4">
      <c r="A378" s="65"/>
      <c r="B378" s="400"/>
      <c r="C378" s="377"/>
      <c r="D378" s="399"/>
    </row>
    <row r="379" spans="1:4">
      <c r="A379" s="65"/>
      <c r="B379" s="400" t="s">
        <v>172</v>
      </c>
      <c r="C379" s="405" t="s">
        <v>206</v>
      </c>
      <c r="D379" s="399"/>
    </row>
    <row r="380" spans="1:4" ht="15.6">
      <c r="A380" s="375"/>
      <c r="B380" s="400"/>
      <c r="C380" s="374"/>
      <c r="D380" s="399"/>
    </row>
    <row r="381" spans="1:4" ht="70.2">
      <c r="A381" s="65"/>
      <c r="B381" s="400"/>
      <c r="C381" s="374" t="s">
        <v>287</v>
      </c>
      <c r="D381" s="399"/>
    </row>
    <row r="382" spans="1:4">
      <c r="B382" s="400"/>
      <c r="C382" s="374"/>
      <c r="D382" s="399"/>
    </row>
    <row r="383" spans="1:4">
      <c r="B383" s="400"/>
      <c r="C383" s="376" t="s">
        <v>207</v>
      </c>
      <c r="D383" s="399"/>
    </row>
    <row r="384" spans="1:4">
      <c r="B384" s="400"/>
      <c r="C384" s="374"/>
      <c r="D384" s="399"/>
    </row>
    <row r="385" spans="2:4" ht="69">
      <c r="B385" s="400"/>
      <c r="C385" s="374" t="s">
        <v>254</v>
      </c>
      <c r="D385" s="399"/>
    </row>
    <row r="386" spans="2:4">
      <c r="B386" s="400"/>
      <c r="C386" s="374"/>
      <c r="D386" s="399"/>
    </row>
    <row r="387" spans="2:4">
      <c r="B387" s="400"/>
      <c r="C387" s="374" t="s">
        <v>255</v>
      </c>
      <c r="D387" s="399"/>
    </row>
    <row r="388" spans="2:4">
      <c r="B388" s="400"/>
      <c r="C388" s="374"/>
      <c r="D388" s="399"/>
    </row>
    <row r="389" spans="2:4" ht="27.6">
      <c r="B389" s="400"/>
      <c r="C389" s="374" t="s">
        <v>256</v>
      </c>
      <c r="D389" s="399"/>
    </row>
    <row r="390" spans="2:4">
      <c r="B390" s="400"/>
      <c r="C390" s="374"/>
      <c r="D390" s="399"/>
    </row>
    <row r="391" spans="2:4" ht="41.4">
      <c r="B391" s="400"/>
      <c r="C391" s="374" t="s">
        <v>208</v>
      </c>
      <c r="D391" s="399"/>
    </row>
    <row r="392" spans="2:4">
      <c r="B392" s="400"/>
      <c r="C392" s="399"/>
      <c r="D392" s="399"/>
    </row>
  </sheetData>
  <sheetProtection algorithmName="SHA-512" hashValue="jpka+AB2hdKiG1lzSjgLNMbOxD7PDV0hdO6P/2JGRTGKxSkA3DyJE/zeNUizgy2RzD6RuEraMs16+0BGMpQ5hA==" saltValue="eugexJPkfu17T/PaPgn/yw==" spinCount="100000" sheet="1" objects="1" scenarios="1"/>
  <hyperlinks>
    <hyperlink ref="E17" location="'Consequences worksheet'!A1" display="take me to the Consequences Worksheet" xr:uid="{00000000-0004-0000-0600-000000000000}"/>
    <hyperlink ref="E15" location="'Likelihood worksheet'!A1" display="take me to the Likelihood Worksheet" xr:uid="{00000000-0004-0000-0600-000001000000}"/>
    <hyperlink ref="E21" location="'Results section 1'!A1" display="Show me the results" xr:uid="{00000000-0004-0000-0600-000002000000}"/>
    <hyperlink ref="E26" r:id="rId1" display="http://foodfraudadvisors.com/vulnerability-assessment-faq5/" xr:uid="{00000000-0004-0000-0600-000003000000}"/>
    <hyperlink ref="E28" r:id="rId2" display="http://foodfraudadvisors.com/what-next/" xr:uid="{00000000-0004-0000-0600-000004000000}"/>
    <hyperlink ref="C30" r:id="rId3" xr:uid="{00000000-0004-0000-0600-000005000000}"/>
    <hyperlink ref="E8" location="'Scope worksheet'!A1" display="take me to the scope worksheet" xr:uid="{00000000-0004-0000-0600-000006000000}"/>
    <hyperlink ref="C27" r:id="rId4" xr:uid="{00000000-0004-0000-0600-000007000000}"/>
    <hyperlink ref="E23" location="'Controls (optional)'!A1" display="take me to the controls worksheet" xr:uid="{00000000-0004-0000-0600-000008000000}"/>
    <hyperlink ref="E11" location="Instructions!A99" display="what is an initial screening?" xr:uid="{00000000-0004-0000-0600-000009000000}"/>
    <hyperlink ref="C172" r:id="rId5" xr:uid="{00000000-0004-0000-0600-00000A000000}"/>
    <hyperlink ref="E13" location="'Initial screening (optional)'!A1" display="perform an intial screening" xr:uid="{00000000-0004-0000-0600-00000B000000}"/>
    <hyperlink ref="C101" r:id="rId6" xr:uid="{00000000-0004-0000-0600-00000C000000}"/>
  </hyperlinks>
  <pageMargins left="1" right="1" top="1" bottom="1" header="0.5" footer="0.5"/>
  <pageSetup paperSize="9" scale="31" fitToHeight="0" orientation="portrait" r:id="rId7"/>
  <headerFooter>
    <oddHeader>&amp;C&amp;K00B050Vulnerability Assessment Tool, Food Fraud Advisors 2019</oddHeader>
  </headerFooter>
  <drawing r:id="rId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dimension ref="B2:H19"/>
  <sheetViews>
    <sheetView showGridLines="0" showRowColHeaders="0" zoomScaleNormal="100" workbookViewId="0">
      <selection activeCell="B7" sqref="B7"/>
    </sheetView>
  </sheetViews>
  <sheetFormatPr defaultColWidth="9.109375" defaultRowHeight="13.2"/>
  <cols>
    <col min="1" max="1" width="9.109375" style="1"/>
    <col min="2" max="2" width="94.5546875" style="1" customWidth="1"/>
    <col min="3" max="3" width="4.5546875" style="1" customWidth="1"/>
    <col min="4" max="4" width="20.33203125" style="1" customWidth="1"/>
    <col min="5" max="5" width="13.44140625" style="1" customWidth="1"/>
    <col min="6" max="7" width="9.109375" style="1"/>
    <col min="8" max="8" width="5.5546875" style="1" customWidth="1"/>
    <col min="9" max="16384" width="9.109375" style="1"/>
  </cols>
  <sheetData>
    <row r="2" spans="2:8" ht="25.5" customHeight="1">
      <c r="B2" s="88" t="s">
        <v>73</v>
      </c>
      <c r="D2" s="98" t="s">
        <v>2</v>
      </c>
      <c r="E2" s="606" t="s">
        <v>33</v>
      </c>
      <c r="F2" s="607"/>
      <c r="G2" s="607"/>
      <c r="H2" s="608"/>
    </row>
    <row r="3" spans="2:8" ht="29.25" customHeight="1">
      <c r="B3" s="87" t="str">
        <f>IF('Scope worksheet'!D6="Insert name of material or material group here","Enter material name on scope worksheet",'Scope worksheet'!D6)</f>
        <v>Enter material name on scope worksheet</v>
      </c>
      <c r="D3" s="100"/>
      <c r="E3" s="609" t="s">
        <v>32</v>
      </c>
      <c r="F3" s="610"/>
      <c r="G3" s="610"/>
      <c r="H3" s="611"/>
    </row>
    <row r="4" spans="2:8" ht="15.75" customHeight="1">
      <c r="B4" s="92"/>
      <c r="D4" s="16"/>
      <c r="E4" s="26"/>
      <c r="F4" s="26"/>
      <c r="G4" s="26"/>
      <c r="H4" s="26"/>
    </row>
    <row r="5" spans="2:8" ht="15.6">
      <c r="B5" s="88" t="s">
        <v>72</v>
      </c>
      <c r="D5" s="98" t="s">
        <v>3</v>
      </c>
      <c r="E5" s="96">
        <f ca="1">TODAY()</f>
        <v>43542</v>
      </c>
      <c r="F5" s="118"/>
      <c r="G5" s="119"/>
      <c r="H5" s="120"/>
    </row>
    <row r="6" spans="2:8" ht="36" customHeight="1">
      <c r="B6" s="89" t="s">
        <v>193</v>
      </c>
      <c r="D6" s="99" t="s">
        <v>7</v>
      </c>
      <c r="E6" s="97">
        <f ca="1">DATE(YEAR(E5)+1,MONTH(E5),DAY(E5))</f>
        <v>43908</v>
      </c>
      <c r="F6" s="121"/>
      <c r="G6" s="121"/>
      <c r="H6" s="122"/>
    </row>
    <row r="7" spans="2:8" ht="84" customHeight="1">
      <c r="B7" s="81"/>
    </row>
    <row r="9" spans="2:8" ht="15.6">
      <c r="B9" s="88" t="s">
        <v>70</v>
      </c>
    </row>
    <row r="10" spans="2:8" ht="36" customHeight="1">
      <c r="B10" s="89" t="s">
        <v>194</v>
      </c>
    </row>
    <row r="11" spans="2:8" ht="84" customHeight="1">
      <c r="B11" s="81"/>
    </row>
    <row r="13" spans="2:8" ht="15.6">
      <c r="B13" s="88" t="s">
        <v>71</v>
      </c>
    </row>
    <row r="14" spans="2:8" ht="36" customHeight="1">
      <c r="B14" s="89" t="s">
        <v>195</v>
      </c>
    </row>
    <row r="15" spans="2:8" ht="84" customHeight="1">
      <c r="B15" s="90"/>
    </row>
    <row r="16" spans="2:8" ht="13.8" thickBot="1"/>
    <row r="17" spans="2:3" ht="13.8" thickBot="1">
      <c r="B17" s="57" t="s">
        <v>17</v>
      </c>
    </row>
    <row r="18" spans="2:3" ht="13.8" thickBot="1">
      <c r="C18" s="78"/>
    </row>
    <row r="19" spans="2:3" ht="13.8" thickBot="1">
      <c r="B19" s="58" t="s">
        <v>201</v>
      </c>
    </row>
  </sheetData>
  <sheetProtection algorithmName="SHA-512" hashValue="QC2U23615pQhpMJ/mvs7BN+OtqqGxWfNVxysqRrzaDgzJvb8/ZjI1OfENwbw2VyEOBjXj+6+p00akfuIt+EPeQ==" saltValue="cf7jc6lfw0Z0JfX/cdbVqw==" spinCount="100000" sheet="1" formatCells="0" formatColumns="0" formatRows="0" selectLockedCells="1"/>
  <mergeCells count="2">
    <mergeCell ref="E2:H2"/>
    <mergeCell ref="E3:H3"/>
  </mergeCells>
  <hyperlinks>
    <hyperlink ref="B17" location="Instructions!A16" display="Back to Instructions page" xr:uid="{00000000-0004-0000-0700-000000000000}"/>
    <hyperlink ref="B19" location="'Controls report'!A1" display="View the Controls report" xr:uid="{00000000-0004-0000-0700-000001000000}"/>
  </hyperlinks>
  <pageMargins left="0.7" right="0.7" top="0.75" bottom="0.75" header="0.3" footer="0.3"/>
  <pageSetup paperSize="9" orientation="portrait" horizontalDpi="0" verticalDpi="0" r:id="rId1"/>
  <drawing r:id="rId2"/>
  <picture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B1:L928"/>
  <sheetViews>
    <sheetView showGridLines="0" showRowColHeaders="0" showRuler="0" view="pageLayout" zoomScaleNormal="100" workbookViewId="0">
      <selection activeCell="C3" sqref="C3"/>
    </sheetView>
  </sheetViews>
  <sheetFormatPr defaultColWidth="17.33203125" defaultRowHeight="15" customHeight="1"/>
  <cols>
    <col min="1" max="1" width="3.44140625" style="1" customWidth="1"/>
    <col min="2" max="2" width="26" style="1" customWidth="1"/>
    <col min="3" max="3" width="12.109375" style="1" customWidth="1"/>
    <col min="4" max="9" width="9.109375" style="1"/>
    <col min="10" max="15" width="8.6640625" style="1" customWidth="1"/>
    <col min="16" max="16384" width="17.33203125" style="1"/>
  </cols>
  <sheetData>
    <row r="1" spans="2:11" ht="58.2" customHeight="1">
      <c r="B1" s="615" t="s">
        <v>354</v>
      </c>
      <c r="C1" s="615"/>
      <c r="D1" s="615"/>
      <c r="E1" s="615"/>
      <c r="F1" s="615"/>
      <c r="G1" s="615"/>
    </row>
    <row r="2" spans="2:11" ht="12.75" customHeight="1">
      <c r="D2" s="4"/>
      <c r="E2" s="4"/>
    </row>
    <row r="3" spans="2:11" ht="18.75" customHeight="1">
      <c r="B3" s="108" t="s">
        <v>53</v>
      </c>
      <c r="C3" s="111" t="str">
        <f>IF('Scope worksheet'!D6="Insert name of material or material group here","Enter material name on Scope Worksheet",'Scope worksheet'!D6)</f>
        <v>Enter material name on Scope Worksheet</v>
      </c>
      <c r="D3" s="112"/>
      <c r="E3" s="112"/>
      <c r="F3" s="112"/>
      <c r="G3" s="112"/>
      <c r="H3" s="113"/>
    </row>
    <row r="4" spans="2:11" ht="18.75" customHeight="1">
      <c r="B4" s="91" t="s">
        <v>76</v>
      </c>
      <c r="C4" s="111" t="str">
        <f>IF('Scope worksheet'!D7="Type the name of the food business here","Enter company name on Scope Worksheet",'Scope worksheet'!D7)</f>
        <v>Enter company name on Scope Worksheet</v>
      </c>
      <c r="D4" s="112"/>
      <c r="E4" s="112"/>
      <c r="F4" s="112"/>
      <c r="G4" s="112"/>
      <c r="H4" s="113"/>
    </row>
    <row r="5" spans="2:11" ht="18.75" customHeight="1">
      <c r="B5" s="93" t="s">
        <v>196</v>
      </c>
      <c r="C5" s="111" t="str">
        <f>IF('Scope worksheet'!D8="Manufacturing site(s) for this assessment","Enter site name on Scope Worksheet",'Scope worksheet'!D8)</f>
        <v>Site(s) for this assessment</v>
      </c>
      <c r="D5" s="112"/>
      <c r="E5" s="112"/>
      <c r="F5" s="112"/>
      <c r="G5" s="112"/>
      <c r="H5" s="113"/>
      <c r="I5" s="86"/>
      <c r="J5" s="86"/>
      <c r="K5" s="84"/>
    </row>
    <row r="6" spans="2:11" ht="18.75" customHeight="1">
      <c r="B6" s="91" t="s">
        <v>63</v>
      </c>
      <c r="C6" s="111" t="str">
        <f>'calc sheet'!H38</f>
        <v>Low risk</v>
      </c>
      <c r="D6" s="112"/>
      <c r="E6" s="112"/>
      <c r="F6" s="112"/>
      <c r="G6" s="112"/>
      <c r="H6" s="113"/>
      <c r="I6" s="85"/>
      <c r="J6" s="85"/>
      <c r="K6" s="85"/>
    </row>
    <row r="7" spans="2:11" ht="11.25" customHeight="1">
      <c r="B7" s="95"/>
      <c r="C7" s="94"/>
      <c r="D7" s="94"/>
      <c r="E7" s="94"/>
      <c r="F7" s="94"/>
      <c r="G7" s="94"/>
      <c r="H7" s="85"/>
      <c r="I7" s="85"/>
      <c r="J7" s="85"/>
      <c r="K7" s="85"/>
    </row>
    <row r="8" spans="2:11" ht="18.75" customHeight="1">
      <c r="B8" s="109" t="s">
        <v>2</v>
      </c>
      <c r="C8" s="103" t="str">
        <f>IF('Controls (optional)'!E2="insert your name here","Enter your name on the controls worksheet",'Controls (optional)'!E2)</f>
        <v>Enter your name on the controls worksheet</v>
      </c>
      <c r="D8" s="114"/>
      <c r="E8" s="114"/>
      <c r="F8" s="114"/>
      <c r="G8" s="114"/>
      <c r="H8" s="115"/>
      <c r="I8" s="85"/>
      <c r="J8" s="85"/>
      <c r="K8" s="85"/>
    </row>
    <row r="9" spans="2:11" ht="18.75" customHeight="1">
      <c r="B9" s="110"/>
      <c r="C9" s="104" t="str">
        <f>IF('Controls (optional)'!E3="insert your job title here","Enter your job title on the controls worksheet",'Controls (optional)'!E3)</f>
        <v>Enter your job title on the controls worksheet</v>
      </c>
      <c r="D9" s="116"/>
      <c r="E9" s="116"/>
      <c r="F9" s="116"/>
      <c r="G9" s="116"/>
      <c r="H9" s="117"/>
      <c r="I9" s="85"/>
      <c r="J9" s="85"/>
      <c r="K9" s="85"/>
    </row>
    <row r="10" spans="2:11" ht="18.75" customHeight="1">
      <c r="B10" s="102" t="s">
        <v>3</v>
      </c>
      <c r="C10" s="612">
        <f ca="1">'Controls (optional)'!E5</f>
        <v>43542</v>
      </c>
      <c r="D10" s="613"/>
      <c r="E10" s="613"/>
      <c r="F10" s="613"/>
      <c r="G10" s="613"/>
      <c r="H10" s="614"/>
      <c r="I10" s="85"/>
      <c r="J10" s="85"/>
      <c r="K10" s="85"/>
    </row>
    <row r="11" spans="2:11" ht="18.75" customHeight="1">
      <c r="B11" s="101" t="s">
        <v>7</v>
      </c>
      <c r="C11" s="612">
        <f ca="1">'Controls (optional)'!E6</f>
        <v>43908</v>
      </c>
      <c r="D11" s="613"/>
      <c r="E11" s="613"/>
      <c r="F11" s="613"/>
      <c r="G11" s="613"/>
      <c r="H11" s="614"/>
      <c r="I11" s="85"/>
      <c r="J11" s="85"/>
      <c r="K11" s="85"/>
    </row>
    <row r="12" spans="2:11" ht="12" customHeight="1">
      <c r="B12" s="9"/>
    </row>
    <row r="13" spans="2:11" ht="21" customHeight="1">
      <c r="B13" s="105" t="s">
        <v>74</v>
      </c>
      <c r="C13" s="106"/>
      <c r="D13" s="106"/>
      <c r="E13" s="106"/>
      <c r="F13" s="106"/>
      <c r="G13" s="106"/>
      <c r="H13" s="107"/>
    </row>
    <row r="14" spans="2:11" ht="8.25" customHeight="1">
      <c r="B14" s="190"/>
      <c r="C14" s="191"/>
      <c r="D14" s="191"/>
      <c r="E14" s="191"/>
      <c r="F14" s="191"/>
      <c r="G14" s="191"/>
      <c r="H14" s="192"/>
    </row>
    <row r="15" spans="2:11" ht="409.5" customHeight="1">
      <c r="B15" s="536" t="str">
        <f>'Controls (optional)'!B7&amp;CHAR(10)&amp;CHAR(10)&amp;'Controls (optional)'!B11&amp;CHAR(10)&amp;CHAR(10)&amp;'Controls (optional)'!B15</f>
        <v xml:space="preserve">
</v>
      </c>
      <c r="C15" s="537"/>
      <c r="D15" s="537"/>
      <c r="E15" s="537"/>
      <c r="F15" s="537"/>
      <c r="G15" s="537"/>
      <c r="H15" s="538"/>
      <c r="I15" s="83"/>
      <c r="J15" s="83"/>
    </row>
    <row r="16" spans="2:11" ht="12.75" customHeight="1"/>
    <row r="17" spans="12:12" ht="12.75" customHeight="1"/>
    <row r="18" spans="12:12" ht="12.75" customHeight="1">
      <c r="L18" s="82"/>
    </row>
    <row r="19" spans="12:12" ht="12.75" customHeight="1"/>
    <row r="20" spans="12:12" ht="12.75" customHeight="1"/>
    <row r="21" spans="12:12" ht="12.75" customHeight="1"/>
    <row r="22" spans="12:12" ht="12.75" customHeight="1"/>
    <row r="23" spans="12:12" ht="12.75" customHeight="1"/>
    <row r="24" spans="12:12" ht="12.75" customHeight="1"/>
    <row r="25" spans="12:12" ht="12.75" customHeight="1"/>
    <row r="26" spans="12:12" ht="12.75" customHeight="1"/>
    <row r="27" spans="12:12" ht="12.75" customHeight="1"/>
    <row r="28" spans="12:12" ht="12.75" customHeight="1"/>
    <row r="29" spans="12:12" ht="12.75" customHeight="1"/>
    <row r="30" spans="12:12" ht="12.75" customHeight="1"/>
    <row r="31" spans="12:12" ht="12.75" customHeight="1"/>
    <row r="32" spans="12:1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8" customHeight="1"/>
    <row r="69" ht="12.75" customHeight="1"/>
    <row r="70" ht="27" customHeight="1"/>
    <row r="71" ht="50.2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3.2"/>
    <row r="174" ht="13.2"/>
    <row r="175" ht="13.2"/>
    <row r="176" ht="13.2"/>
    <row r="177" ht="13.2"/>
    <row r="178" ht="13.2"/>
    <row r="179" ht="13.2"/>
    <row r="180" ht="13.2"/>
    <row r="181" ht="13.2"/>
    <row r="182" ht="13.2"/>
    <row r="183" ht="13.2"/>
    <row r="184" ht="13.2"/>
    <row r="185" ht="13.2"/>
    <row r="186" ht="13.2"/>
    <row r="187" ht="13.2"/>
    <row r="188" ht="13.2"/>
    <row r="189" ht="13.2"/>
    <row r="190" ht="13.2"/>
    <row r="191" ht="13.2"/>
    <row r="192" ht="13.2"/>
    <row r="193" ht="13.2"/>
    <row r="194" ht="13.2"/>
    <row r="195" ht="13.2"/>
    <row r="196" ht="13.2"/>
    <row r="197" ht="13.2"/>
    <row r="198" ht="13.2"/>
    <row r="199" ht="13.2"/>
    <row r="200" ht="13.2"/>
    <row r="201" ht="13.2"/>
    <row r="202" ht="13.2"/>
    <row r="203" ht="13.2"/>
    <row r="204" ht="13.2"/>
    <row r="205" ht="13.2"/>
    <row r="206" ht="13.2"/>
    <row r="207" ht="13.2"/>
    <row r="208" ht="13.2"/>
    <row r="209" ht="13.2"/>
    <row r="210" ht="13.2"/>
    <row r="211" ht="13.2"/>
    <row r="212" ht="13.2"/>
    <row r="213" ht="13.2"/>
    <row r="214" ht="13.2"/>
    <row r="215" ht="13.2"/>
    <row r="216" ht="13.2"/>
    <row r="217" ht="13.2"/>
    <row r="218" ht="13.2"/>
    <row r="219" ht="13.2"/>
    <row r="220" ht="13.2"/>
    <row r="221" ht="13.2"/>
    <row r="222" ht="13.2"/>
    <row r="223" ht="13.2"/>
    <row r="224" ht="13.2"/>
    <row r="225" ht="13.2"/>
    <row r="226" ht="13.2"/>
    <row r="227" ht="13.2"/>
    <row r="228" ht="13.2"/>
    <row r="229" ht="13.2"/>
    <row r="230" ht="13.2"/>
    <row r="231" ht="13.2"/>
    <row r="232" ht="13.2"/>
    <row r="233" ht="13.2"/>
    <row r="234" ht="13.2"/>
    <row r="235" ht="13.2"/>
    <row r="236" ht="13.2"/>
    <row r="237" ht="13.2"/>
    <row r="238" ht="13.2"/>
    <row r="239" ht="13.2"/>
    <row r="240" ht="13.2"/>
    <row r="241" ht="13.2"/>
    <row r="242" ht="13.2"/>
    <row r="243" ht="13.2"/>
    <row r="244" ht="13.2"/>
    <row r="245" ht="13.2"/>
    <row r="246" ht="13.2"/>
    <row r="247" ht="13.2"/>
    <row r="248" ht="13.2"/>
    <row r="249" ht="13.2"/>
    <row r="250" ht="13.2"/>
    <row r="251" ht="13.2"/>
    <row r="252" ht="13.2"/>
    <row r="253" ht="13.2"/>
    <row r="254" ht="13.2"/>
    <row r="255" ht="13.2"/>
    <row r="256" ht="13.2"/>
    <row r="257" ht="13.2"/>
    <row r="258" ht="13.2"/>
    <row r="259" ht="13.2"/>
    <row r="260" ht="13.2"/>
    <row r="261" ht="13.2"/>
    <row r="262" ht="13.2"/>
    <row r="263" ht="13.2"/>
    <row r="264" ht="13.2"/>
    <row r="265" ht="13.2"/>
    <row r="266" ht="13.2"/>
    <row r="267" ht="13.2"/>
    <row r="268" ht="13.2"/>
    <row r="269" ht="13.2"/>
    <row r="270" ht="13.2"/>
    <row r="271" ht="13.2"/>
    <row r="272" ht="13.2"/>
    <row r="273" ht="13.2"/>
    <row r="274" ht="13.2"/>
    <row r="275" ht="13.2"/>
    <row r="276" ht="13.2"/>
    <row r="277" ht="13.2"/>
    <row r="278" ht="13.2"/>
    <row r="279" ht="13.2"/>
    <row r="280" ht="13.2"/>
    <row r="281" ht="13.2"/>
    <row r="282" ht="13.2"/>
    <row r="283" ht="13.2"/>
    <row r="284" ht="13.2"/>
    <row r="285" ht="13.2"/>
    <row r="286" ht="13.2"/>
    <row r="287" ht="13.2"/>
    <row r="288" ht="13.2"/>
    <row r="289" ht="13.2"/>
    <row r="290" ht="13.2"/>
    <row r="291" ht="13.2"/>
    <row r="292" ht="13.2"/>
    <row r="293" ht="13.2"/>
    <row r="294" ht="13.2"/>
    <row r="295" ht="13.2"/>
    <row r="296" ht="13.2"/>
    <row r="297" ht="13.2"/>
    <row r="298" ht="13.2"/>
    <row r="299" ht="13.2"/>
    <row r="300" ht="13.2"/>
    <row r="301" ht="13.2"/>
    <row r="302" ht="13.2"/>
    <row r="303" ht="13.2"/>
    <row r="304" ht="13.2"/>
    <row r="305" ht="13.2"/>
    <row r="306" ht="13.2"/>
    <row r="307" ht="13.2"/>
    <row r="308" ht="13.2"/>
    <row r="309" ht="13.2"/>
    <row r="310" ht="13.2"/>
    <row r="311" ht="13.2"/>
    <row r="312" ht="13.2"/>
    <row r="313" ht="13.2"/>
    <row r="314" ht="13.2"/>
    <row r="315" ht="13.2"/>
    <row r="316" ht="13.2"/>
    <row r="317" ht="13.2"/>
    <row r="318" ht="13.2"/>
    <row r="319" ht="13.2"/>
    <row r="320" ht="13.2"/>
    <row r="321" ht="13.2"/>
    <row r="322" ht="13.2"/>
    <row r="323" ht="13.2"/>
    <row r="324" ht="13.2"/>
    <row r="325" ht="13.2"/>
    <row r="326" ht="13.2"/>
    <row r="327" ht="13.2"/>
    <row r="328" ht="13.2"/>
    <row r="329" ht="13.2"/>
    <row r="330" ht="13.2"/>
    <row r="331" ht="13.2"/>
    <row r="332" ht="13.2"/>
    <row r="333" ht="13.2"/>
    <row r="334" ht="13.2"/>
    <row r="335" ht="13.2"/>
    <row r="336" ht="13.2"/>
    <row r="337" ht="13.2"/>
    <row r="338" ht="13.2"/>
    <row r="339" ht="13.2"/>
    <row r="340" ht="13.2"/>
    <row r="341" ht="13.2"/>
    <row r="342" ht="13.2"/>
    <row r="343" ht="13.2"/>
    <row r="344" ht="13.2"/>
    <row r="345" ht="13.2"/>
    <row r="346" ht="13.2"/>
    <row r="347" ht="13.2"/>
    <row r="348" ht="13.2"/>
    <row r="349" ht="13.2"/>
    <row r="350" ht="13.2"/>
    <row r="351" ht="13.2"/>
    <row r="352" ht="13.2"/>
    <row r="353" ht="13.2"/>
    <row r="354" ht="13.2"/>
    <row r="355" ht="13.2"/>
    <row r="356" ht="13.2"/>
    <row r="357" ht="13.2"/>
    <row r="358" ht="13.2"/>
    <row r="359" ht="13.2"/>
    <row r="360" ht="13.2"/>
    <row r="361" ht="13.2"/>
    <row r="362" ht="13.2"/>
    <row r="363" ht="13.2"/>
    <row r="364" ht="13.2"/>
    <row r="365" ht="13.2"/>
    <row r="366" ht="13.2"/>
    <row r="367" ht="13.2"/>
    <row r="368" ht="13.2"/>
    <row r="369" ht="13.2"/>
    <row r="370" ht="13.2"/>
    <row r="371" ht="13.2"/>
    <row r="372" ht="13.2"/>
    <row r="373" ht="13.2"/>
    <row r="374" ht="13.2"/>
    <row r="375" ht="13.2"/>
    <row r="376" ht="13.2"/>
    <row r="377" ht="13.2"/>
    <row r="378" ht="13.2"/>
    <row r="379" ht="13.2"/>
    <row r="380" ht="13.2"/>
    <row r="381" ht="13.2"/>
    <row r="382" ht="13.2"/>
    <row r="383" ht="13.2"/>
    <row r="384" ht="13.2"/>
    <row r="385" ht="13.2"/>
    <row r="386" ht="13.2"/>
    <row r="387" ht="13.2"/>
    <row r="388" ht="13.2"/>
    <row r="389" ht="13.2"/>
    <row r="390" ht="13.2"/>
    <row r="391" ht="13.2"/>
    <row r="392" ht="13.2"/>
    <row r="393" ht="13.2"/>
    <row r="394" ht="13.2"/>
    <row r="395" ht="13.2"/>
    <row r="396" ht="13.2"/>
    <row r="397" ht="13.2"/>
    <row r="398" ht="13.2"/>
    <row r="399" ht="13.2"/>
    <row r="400" ht="13.2"/>
    <row r="401" ht="13.2"/>
    <row r="402" ht="13.2"/>
    <row r="403" ht="13.2"/>
    <row r="404" ht="13.2"/>
    <row r="405" ht="13.2"/>
    <row r="406" ht="13.2"/>
    <row r="407" ht="13.2"/>
    <row r="408" ht="13.2"/>
    <row r="409" ht="13.2"/>
    <row r="410" ht="13.2"/>
    <row r="411" ht="13.2"/>
    <row r="412" ht="13.2"/>
    <row r="413" ht="13.2"/>
    <row r="414" ht="13.2"/>
    <row r="415" ht="13.2"/>
    <row r="416" ht="13.2"/>
    <row r="417" ht="13.2"/>
    <row r="418" ht="13.2"/>
    <row r="419" ht="13.2"/>
    <row r="420" ht="13.2"/>
    <row r="421" ht="13.2"/>
    <row r="422" ht="13.2"/>
    <row r="423" ht="13.2"/>
    <row r="424" ht="13.2"/>
    <row r="425" ht="13.2"/>
    <row r="426" ht="13.2"/>
    <row r="427" ht="13.2"/>
    <row r="428" ht="13.2"/>
    <row r="429" ht="13.2"/>
    <row r="430" ht="13.2"/>
    <row r="431" ht="13.2"/>
    <row r="432" ht="13.2"/>
    <row r="433" ht="13.2"/>
    <row r="434" ht="13.2"/>
    <row r="435" ht="13.2"/>
    <row r="436" ht="13.2"/>
    <row r="437" ht="13.2"/>
    <row r="438" ht="13.2"/>
    <row r="439" ht="13.2"/>
    <row r="440" ht="13.2"/>
    <row r="441" ht="13.2"/>
    <row r="442" ht="13.2"/>
    <row r="443" ht="13.2"/>
    <row r="444" ht="13.2"/>
    <row r="445" ht="13.2"/>
    <row r="446" ht="13.2"/>
    <row r="447" ht="13.2"/>
    <row r="448" ht="13.2"/>
    <row r="449" ht="13.2"/>
    <row r="450" ht="13.2"/>
    <row r="451" ht="13.2"/>
    <row r="452" ht="13.2"/>
    <row r="453" ht="13.2"/>
    <row r="454" ht="13.2"/>
    <row r="455" ht="13.2"/>
    <row r="456" ht="13.2"/>
    <row r="457" ht="13.2"/>
    <row r="458" ht="13.2"/>
    <row r="459" ht="13.2"/>
    <row r="460" ht="13.2"/>
    <row r="461" ht="13.2"/>
    <row r="462" ht="13.2"/>
    <row r="463" ht="13.2"/>
    <row r="464" ht="13.2"/>
    <row r="465" ht="13.2"/>
    <row r="466" ht="13.2"/>
    <row r="467" ht="13.2"/>
    <row r="468" ht="13.2"/>
    <row r="469" ht="13.2"/>
    <row r="470" ht="13.2"/>
    <row r="471" ht="13.2"/>
    <row r="472" ht="13.2"/>
    <row r="473" ht="13.2"/>
    <row r="474" ht="13.2"/>
    <row r="475" ht="13.2"/>
    <row r="476" ht="13.2"/>
    <row r="477" ht="13.2"/>
    <row r="478" ht="13.2"/>
    <row r="479" ht="13.2"/>
    <row r="480" ht="13.2"/>
    <row r="481" ht="13.2"/>
    <row r="482" ht="13.2"/>
    <row r="483" ht="13.2"/>
    <row r="484" ht="13.2"/>
    <row r="485" ht="13.2"/>
    <row r="486" ht="13.2"/>
    <row r="487" ht="13.2"/>
    <row r="488" ht="13.2"/>
    <row r="489" ht="13.2"/>
    <row r="490" ht="13.2"/>
    <row r="491" ht="13.2"/>
    <row r="492" ht="13.2"/>
    <row r="493" ht="13.2"/>
    <row r="494" ht="13.2"/>
    <row r="495" ht="13.2"/>
    <row r="496" ht="13.2"/>
    <row r="497" ht="13.2"/>
    <row r="498" ht="13.2"/>
    <row r="499" ht="13.2"/>
    <row r="500" ht="13.2"/>
    <row r="501" ht="13.2"/>
    <row r="502" ht="13.2"/>
    <row r="503" ht="13.2"/>
    <row r="504" ht="13.2"/>
    <row r="505" ht="13.2"/>
    <row r="506" ht="13.2"/>
    <row r="507" ht="13.2"/>
    <row r="508" ht="13.2"/>
    <row r="509" ht="13.2"/>
    <row r="510" ht="13.2"/>
    <row r="511" ht="13.2"/>
    <row r="512" ht="13.2"/>
    <row r="513" ht="13.2"/>
    <row r="514" ht="13.2"/>
    <row r="515" ht="13.2"/>
    <row r="516" ht="13.2"/>
    <row r="517" ht="13.2"/>
    <row r="518" ht="13.2"/>
    <row r="519" ht="13.2"/>
    <row r="520" ht="13.2"/>
    <row r="521" ht="13.2"/>
    <row r="522" ht="13.2"/>
    <row r="523" ht="13.2"/>
    <row r="524" ht="13.2"/>
    <row r="525" ht="13.2"/>
    <row r="526" ht="13.2"/>
    <row r="527" ht="13.2"/>
    <row r="528" ht="13.2"/>
    <row r="529" ht="13.2"/>
    <row r="530" ht="13.2"/>
    <row r="531" ht="13.2"/>
    <row r="532" ht="13.2"/>
    <row r="533" ht="13.2"/>
    <row r="534" ht="13.2"/>
    <row r="535" ht="13.2"/>
    <row r="536" ht="13.2"/>
    <row r="537" ht="13.2"/>
    <row r="538" ht="13.2"/>
    <row r="539" ht="13.2"/>
    <row r="540" ht="13.2"/>
    <row r="541" ht="13.2"/>
    <row r="542" ht="13.2"/>
    <row r="543" ht="13.2"/>
    <row r="544" ht="13.2"/>
    <row r="545" ht="13.2"/>
    <row r="546" ht="13.2"/>
    <row r="547" ht="13.2"/>
    <row r="548" ht="13.2"/>
    <row r="549" ht="13.2"/>
    <row r="550" ht="13.2"/>
    <row r="551" ht="13.2"/>
    <row r="552" ht="13.2"/>
    <row r="553" ht="13.2"/>
    <row r="554" ht="13.2"/>
    <row r="555" ht="13.2"/>
    <row r="556" ht="13.2"/>
    <row r="557" ht="13.2"/>
    <row r="558" ht="13.2"/>
    <row r="559" ht="13.2"/>
    <row r="560" ht="13.2"/>
    <row r="561" ht="13.2"/>
    <row r="562" ht="13.2"/>
    <row r="563" ht="13.2"/>
    <row r="564" ht="13.2"/>
    <row r="565" ht="13.2"/>
    <row r="566" ht="13.2"/>
    <row r="567" ht="13.2"/>
    <row r="568" ht="13.2"/>
    <row r="569" ht="13.2"/>
    <row r="570" ht="13.2"/>
    <row r="571" ht="13.2"/>
    <row r="572" ht="13.2"/>
    <row r="573" ht="13.2"/>
    <row r="574" ht="13.2"/>
    <row r="575" ht="13.2"/>
    <row r="576" ht="13.2"/>
    <row r="577" ht="13.2"/>
    <row r="578" ht="13.2"/>
    <row r="579" ht="13.2"/>
    <row r="580" ht="13.2"/>
    <row r="581" ht="13.2"/>
    <row r="582" ht="13.2"/>
    <row r="583" ht="13.2"/>
    <row r="584" ht="13.2"/>
    <row r="585" ht="13.2"/>
    <row r="586" ht="13.2"/>
    <row r="587" ht="13.2"/>
    <row r="588" ht="13.2"/>
    <row r="589" ht="13.2"/>
    <row r="590" ht="13.2"/>
    <row r="591" ht="13.2"/>
    <row r="592" ht="13.2"/>
    <row r="593" ht="13.2"/>
    <row r="594" ht="13.2"/>
    <row r="595" ht="13.2"/>
    <row r="596" ht="13.2"/>
    <row r="597" ht="13.2"/>
    <row r="598" ht="13.2"/>
    <row r="599" ht="13.2"/>
    <row r="600" ht="13.2"/>
    <row r="601" ht="13.2"/>
    <row r="602" ht="13.2"/>
    <row r="603" ht="13.2"/>
    <row r="604" ht="13.2"/>
    <row r="605" ht="13.2"/>
    <row r="606" ht="13.2"/>
    <row r="607" ht="13.2"/>
    <row r="608" ht="13.2"/>
    <row r="609" ht="13.2"/>
    <row r="610" ht="13.2"/>
    <row r="611" ht="13.2"/>
    <row r="612" ht="13.2"/>
    <row r="613" ht="13.2"/>
    <row r="614" ht="13.2"/>
    <row r="615" ht="13.2"/>
    <row r="616" ht="13.2"/>
    <row r="617" ht="13.2"/>
    <row r="618" ht="13.2"/>
    <row r="619" ht="13.2"/>
    <row r="620" ht="13.2"/>
    <row r="621" ht="13.2"/>
    <row r="622" ht="13.2"/>
    <row r="623" ht="13.2"/>
    <row r="624" ht="13.2"/>
    <row r="625" ht="13.2"/>
    <row r="626" ht="13.2"/>
    <row r="627" ht="13.2"/>
    <row r="628" ht="13.2"/>
    <row r="629" ht="13.2"/>
    <row r="630" ht="13.2"/>
    <row r="631" ht="13.2"/>
    <row r="632" ht="13.2"/>
    <row r="633" ht="13.2"/>
    <row r="634" ht="13.2"/>
    <row r="635" ht="13.2"/>
    <row r="636" ht="13.2"/>
    <row r="637" ht="13.2"/>
    <row r="638" ht="13.2"/>
    <row r="639" ht="13.2"/>
    <row r="640" ht="13.2"/>
    <row r="641" ht="13.2"/>
    <row r="642" ht="13.2"/>
    <row r="643" ht="13.2"/>
    <row r="644" ht="13.2"/>
    <row r="645" ht="13.2"/>
    <row r="646" ht="13.2"/>
    <row r="647" ht="13.2"/>
    <row r="648" ht="13.2"/>
    <row r="649" ht="13.2"/>
    <row r="650" ht="13.2"/>
    <row r="651" ht="13.2"/>
    <row r="652" ht="13.2"/>
    <row r="653" ht="13.2"/>
    <row r="654" ht="13.2"/>
    <row r="655" ht="13.2"/>
    <row r="656" ht="13.2"/>
    <row r="657" ht="13.2"/>
    <row r="658" ht="13.2"/>
    <row r="659" ht="13.2"/>
    <row r="660" ht="13.2"/>
    <row r="661" ht="13.2"/>
    <row r="662" ht="13.2"/>
    <row r="663" ht="13.2"/>
    <row r="664" ht="13.2"/>
    <row r="665" ht="13.2"/>
    <row r="666" ht="13.2"/>
    <row r="667" ht="13.2"/>
    <row r="668" ht="13.2"/>
    <row r="669" ht="13.2"/>
    <row r="670" ht="13.2"/>
    <row r="671" ht="13.2"/>
    <row r="672" ht="13.2"/>
    <row r="673" ht="13.2"/>
    <row r="674" ht="13.2"/>
    <row r="675" ht="13.2"/>
    <row r="676" ht="13.2"/>
    <row r="677" ht="13.2"/>
    <row r="678" ht="13.2"/>
    <row r="679" ht="13.2"/>
    <row r="680" ht="13.2"/>
    <row r="681" ht="13.2"/>
    <row r="682" ht="13.2"/>
    <row r="683" ht="13.2"/>
    <row r="684" ht="13.2"/>
    <row r="685" ht="13.2"/>
    <row r="686" ht="13.2"/>
    <row r="687" ht="13.2"/>
    <row r="688" ht="13.2"/>
    <row r="689" ht="13.2"/>
    <row r="690" ht="13.2"/>
    <row r="691" ht="13.2"/>
    <row r="692" ht="13.2"/>
    <row r="693" ht="13.2"/>
    <row r="694" ht="13.2"/>
    <row r="695" ht="13.2"/>
    <row r="696" ht="13.2"/>
    <row r="697" ht="13.2"/>
    <row r="698" ht="13.2"/>
    <row r="699" ht="13.2"/>
    <row r="700" ht="13.2"/>
    <row r="701" ht="13.2"/>
    <row r="702" ht="13.2"/>
    <row r="703" ht="13.2"/>
    <row r="704" ht="13.2"/>
    <row r="705" ht="13.2"/>
    <row r="706" ht="13.2"/>
    <row r="707" ht="13.2"/>
    <row r="708" ht="13.2"/>
    <row r="709" ht="13.2"/>
    <row r="710" ht="13.2"/>
    <row r="711" ht="13.2"/>
    <row r="712" ht="13.2"/>
    <row r="713" ht="13.2"/>
    <row r="714" ht="13.2"/>
    <row r="715" ht="13.2"/>
    <row r="716" ht="13.2"/>
    <row r="717" ht="13.2"/>
    <row r="718" ht="13.2"/>
    <row r="719" ht="13.2"/>
    <row r="720" ht="13.2"/>
    <row r="721" ht="13.2"/>
    <row r="722" ht="13.2"/>
    <row r="723" ht="13.2"/>
    <row r="724" ht="13.2"/>
    <row r="725" ht="13.2"/>
    <row r="726" ht="13.2"/>
    <row r="727" ht="13.2"/>
    <row r="728" ht="13.2"/>
    <row r="729" ht="13.2"/>
    <row r="730" ht="13.2"/>
    <row r="731" ht="13.2"/>
    <row r="732" ht="13.2"/>
    <row r="733" ht="13.2"/>
    <row r="734" ht="13.2"/>
    <row r="735" ht="13.2"/>
    <row r="736" ht="13.2"/>
    <row r="737" ht="13.2"/>
    <row r="738" ht="13.2"/>
    <row r="739" ht="13.2"/>
    <row r="740" ht="13.2"/>
    <row r="741" ht="13.2"/>
    <row r="742" ht="13.2"/>
    <row r="743" ht="13.2"/>
    <row r="744" ht="13.2"/>
    <row r="745" ht="13.2"/>
    <row r="746" ht="13.2"/>
    <row r="747" ht="13.2"/>
    <row r="748" ht="13.2"/>
    <row r="749" ht="13.2"/>
    <row r="750" ht="13.2"/>
    <row r="751" ht="13.2"/>
    <row r="752" ht="13.2"/>
    <row r="753" ht="13.2"/>
    <row r="754" ht="13.2"/>
    <row r="755" ht="13.2"/>
    <row r="756" ht="13.2"/>
    <row r="757" ht="13.2"/>
    <row r="758" ht="13.2"/>
    <row r="759" ht="13.2"/>
    <row r="760" ht="13.2"/>
    <row r="761" ht="13.2"/>
    <row r="762" ht="13.2"/>
    <row r="763" ht="13.2"/>
    <row r="764" ht="13.2"/>
    <row r="765" ht="13.2"/>
    <row r="766" ht="13.2"/>
    <row r="767" ht="13.2"/>
    <row r="768" ht="13.2"/>
    <row r="769" ht="13.2"/>
    <row r="770" ht="13.2"/>
    <row r="771" ht="13.2"/>
    <row r="772" ht="13.2"/>
    <row r="773" ht="13.2"/>
    <row r="774" ht="13.2"/>
    <row r="775" ht="13.2"/>
    <row r="776" ht="13.2"/>
    <row r="777" ht="13.2"/>
    <row r="778" ht="13.2"/>
    <row r="779" ht="13.2"/>
    <row r="780" ht="13.2"/>
    <row r="781" ht="13.2"/>
    <row r="782" ht="13.2"/>
    <row r="783" ht="13.2"/>
    <row r="784" ht="13.2"/>
    <row r="785" ht="13.2"/>
    <row r="786" ht="13.2"/>
    <row r="787" ht="13.2"/>
    <row r="788" ht="13.2"/>
    <row r="789" ht="13.2"/>
    <row r="790" ht="13.2"/>
    <row r="791" ht="13.2"/>
    <row r="792" ht="13.2"/>
    <row r="793" ht="13.2"/>
    <row r="794" ht="13.2"/>
    <row r="795" ht="13.2"/>
    <row r="796" ht="13.2"/>
    <row r="797" ht="13.2"/>
    <row r="798" ht="13.2"/>
    <row r="799" ht="13.2"/>
    <row r="800" ht="13.2"/>
    <row r="801" ht="13.2"/>
    <row r="802" ht="13.2"/>
    <row r="803" ht="13.2"/>
    <row r="804" ht="13.2"/>
    <row r="805" ht="13.2"/>
    <row r="806" ht="13.2"/>
    <row r="807" ht="13.2"/>
    <row r="808" ht="13.2"/>
    <row r="809" ht="13.2"/>
    <row r="810" ht="13.2"/>
    <row r="811" ht="13.2"/>
    <row r="812" ht="13.2"/>
    <row r="813" ht="13.2"/>
    <row r="814" ht="13.2"/>
    <row r="815" ht="13.2"/>
    <row r="816" ht="13.2"/>
    <row r="817" ht="13.2"/>
    <row r="818" ht="13.2"/>
    <row r="819" ht="13.2"/>
    <row r="820" ht="13.2"/>
    <row r="821" ht="13.2"/>
    <row r="822" ht="13.2"/>
    <row r="823" ht="13.2"/>
    <row r="824" ht="13.2"/>
    <row r="825" ht="13.2"/>
    <row r="826" ht="13.2"/>
    <row r="827" ht="13.2"/>
    <row r="828" ht="13.2"/>
    <row r="829" ht="13.2"/>
    <row r="830" ht="13.2"/>
    <row r="831" ht="13.2"/>
    <row r="832" ht="13.2"/>
    <row r="833" ht="13.2"/>
    <row r="834" ht="13.2"/>
    <row r="835" ht="13.2"/>
    <row r="836" ht="13.2"/>
    <row r="837" ht="13.2"/>
    <row r="838" ht="13.2"/>
    <row r="839" ht="13.2"/>
    <row r="840" ht="13.2"/>
    <row r="841" ht="13.2"/>
    <row r="842" ht="13.2"/>
    <row r="843" ht="13.2"/>
    <row r="844" ht="13.2"/>
    <row r="845" ht="13.2"/>
    <row r="846" ht="13.2"/>
    <row r="847" ht="13.2"/>
    <row r="848" ht="13.2"/>
    <row r="849" ht="13.2"/>
    <row r="850" ht="13.2"/>
    <row r="851" ht="13.2"/>
    <row r="852" ht="13.2"/>
    <row r="853" ht="13.2"/>
    <row r="854" ht="13.2"/>
    <row r="855" ht="13.2"/>
    <row r="856" ht="13.2"/>
    <row r="857" ht="13.2"/>
    <row r="858" ht="13.2"/>
    <row r="859" ht="13.2"/>
    <row r="860" ht="13.2"/>
    <row r="861" ht="13.2"/>
    <row r="862" ht="13.2"/>
    <row r="863" ht="13.2"/>
    <row r="864" ht="13.2"/>
    <row r="865" ht="13.2"/>
    <row r="866" ht="13.2"/>
    <row r="867" ht="13.2"/>
    <row r="868" ht="13.2"/>
    <row r="869" ht="13.2"/>
    <row r="870" ht="13.2"/>
    <row r="871" ht="13.2"/>
    <row r="872" ht="13.2"/>
    <row r="873" ht="13.2"/>
    <row r="874" ht="13.2"/>
    <row r="875" ht="13.2"/>
    <row r="876" ht="13.2"/>
    <row r="877" ht="13.2"/>
    <row r="878" ht="13.2"/>
    <row r="879" ht="13.2"/>
    <row r="880" ht="13.2"/>
    <row r="881" ht="13.2"/>
    <row r="882" ht="13.2"/>
    <row r="883" ht="13.2"/>
    <row r="884" ht="13.2"/>
    <row r="885" ht="13.2"/>
    <row r="886" ht="13.2"/>
    <row r="887" ht="13.2"/>
    <row r="888" ht="13.2"/>
    <row r="889" ht="13.2"/>
    <row r="890" ht="13.2"/>
    <row r="891" ht="13.2"/>
    <row r="892" ht="13.2"/>
    <row r="893" ht="13.2"/>
    <row r="894" ht="13.2"/>
    <row r="895" ht="13.2"/>
    <row r="896" ht="13.2"/>
    <row r="897" ht="13.2"/>
    <row r="898" ht="13.2"/>
    <row r="899" ht="13.2"/>
    <row r="900" ht="13.2"/>
    <row r="901" ht="13.2"/>
    <row r="902" ht="13.2"/>
    <row r="903" ht="13.2"/>
    <row r="904" ht="13.2"/>
    <row r="905" ht="13.2"/>
    <row r="906" ht="13.2"/>
    <row r="907" ht="13.2"/>
    <row r="908" ht="13.2"/>
    <row r="909" ht="13.2"/>
    <row r="910" ht="13.2"/>
    <row r="911" ht="13.2"/>
    <row r="912" ht="13.2"/>
    <row r="913" ht="13.2"/>
    <row r="914" ht="13.2"/>
    <row r="915" ht="13.2"/>
    <row r="916" ht="13.2"/>
    <row r="917" ht="13.2"/>
    <row r="918" ht="13.2"/>
    <row r="919" ht="13.2"/>
    <row r="920" ht="13.2"/>
    <row r="921" ht="13.2"/>
    <row r="922" ht="13.2"/>
    <row r="923" ht="13.2"/>
    <row r="924" ht="13.2"/>
    <row r="925" ht="13.2"/>
    <row r="926" ht="13.2"/>
    <row r="927" ht="13.2"/>
    <row r="928" ht="13.2"/>
  </sheetData>
  <sheetProtection algorithmName="SHA-512" hashValue="aJ+YnJfVxyH7n4tp2CZLANfC6RVUhTsjWUGQq8NUOXPRqDAI6B/4wlcIAiPAd5XBqsaMynx45KGNqSXsTCfHxg==" saltValue="hsCPh5embHlEQLzW95AqNw==" spinCount="100000" sheet="1" formatCells="0" formatColumns="0" formatRows="0" insertColumns="0" insertRows="0" deleteColumns="0" deleteRows="0"/>
  <mergeCells count="4">
    <mergeCell ref="B15:H15"/>
    <mergeCell ref="C10:H10"/>
    <mergeCell ref="C11:H11"/>
    <mergeCell ref="B1:G1"/>
  </mergeCells>
  <pageMargins left="0.7" right="0.7" top="0.75" bottom="0.75" header="0.3" footer="0.3"/>
  <pageSetup paperSize="9" orientation="portrait" horizontalDpi="0" verticalDpi="0" r:id="rId1"/>
  <headerFooter>
    <oddHeader>&amp;C&amp;K00B050Vulnerability Assessment Tool, Food Fraud Advisors 2019</oddHeader>
    <oddFooter>&amp;CInsert your company's document control features here</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vt:i4>
      </vt:variant>
    </vt:vector>
  </HeadingPairs>
  <TitlesOfParts>
    <vt:vector size="14" baseType="lpstr">
      <vt:lpstr>Introduction</vt:lpstr>
      <vt:lpstr>Scope worksheet</vt:lpstr>
      <vt:lpstr>Likelihood worksheet</vt:lpstr>
      <vt:lpstr>Consequences worksheet</vt:lpstr>
      <vt:lpstr>Results section 1</vt:lpstr>
      <vt:lpstr>Results section 2</vt:lpstr>
      <vt:lpstr>Instructions</vt:lpstr>
      <vt:lpstr>Controls (optional)</vt:lpstr>
      <vt:lpstr>Controls report</vt:lpstr>
      <vt:lpstr>Initial screening (optional)</vt:lpstr>
      <vt:lpstr>Product list</vt:lpstr>
      <vt:lpstr>Definitions</vt:lpstr>
      <vt:lpstr>prescreenmatrix</vt:lpstr>
      <vt:lpstr>riskmatrix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Vulnerability Assessment Tool</dc:title>
  <dc:creator>Food Fraud Advisors</dc:creator>
  <cp:lastModifiedBy>Karen Constable</cp:lastModifiedBy>
  <cp:lastPrinted>2019-03-11T06:29:20Z</cp:lastPrinted>
  <dcterms:created xsi:type="dcterms:W3CDTF">2015-10-02T21:28:32Z</dcterms:created>
  <dcterms:modified xsi:type="dcterms:W3CDTF">2019-03-17T21:17:01Z</dcterms:modified>
</cp:coreProperties>
</file>